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davissahr/Downloads/"/>
    </mc:Choice>
  </mc:AlternateContent>
  <xr:revisionPtr revIDLastSave="0" documentId="13_ncr:1_{1CE08461-FC1E-7848-B479-DD94B694F6E1}" xr6:coauthVersionLast="47" xr6:coauthVersionMax="47" xr10:uidLastSave="{00000000-0000-0000-0000-000000000000}"/>
  <bookViews>
    <workbookView xWindow="0" yWindow="880" windowWidth="36000" windowHeight="21280" xr2:uid="{00000000-000D-0000-FFFF-FFFF00000000}"/>
  </bookViews>
  <sheets>
    <sheet name="Dashboard" sheetId="1" r:id="rId1"/>
    <sheet name="Holdings" sheetId="2" r:id="rId2"/>
    <sheet name="Monthly Returns" sheetId="3" r:id="rId3"/>
    <sheet name="Risk Analytics" sheetId="4" r:id="rId4"/>
    <sheet name="Fixed Income" sheetId="5" r:id="rId5"/>
    <sheet name="Stress Tests" sheetId="6" r:id="rId6"/>
    <sheet name="Rebalancing" sheetId="7" r:id="rId7"/>
    <sheet name="Methodology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4" l="1"/>
  <c r="B10" i="4"/>
  <c r="A10" i="1" s="1"/>
  <c r="B8" i="4" a="1"/>
  <c r="B8" i="4" s="1"/>
  <c r="B5" i="4"/>
  <c r="C8" i="4" a="1"/>
  <c r="C8" i="4" s="1"/>
  <c r="C5" i="4"/>
  <c r="C10" i="7"/>
  <c r="B10" i="7"/>
  <c r="D9" i="7"/>
  <c r="E9" i="7" s="1"/>
  <c r="F9" i="7" s="1"/>
  <c r="E8" i="7"/>
  <c r="F8" i="7" s="1"/>
  <c r="D8" i="7"/>
  <c r="E7" i="7"/>
  <c r="F7" i="7" s="1"/>
  <c r="D7" i="7"/>
  <c r="E6" i="7"/>
  <c r="F6" i="7" s="1"/>
  <c r="D6" i="7"/>
  <c r="D5" i="7"/>
  <c r="D10" i="7" s="1"/>
  <c r="D4" i="7"/>
  <c r="E4" i="7" s="1"/>
  <c r="I11" i="6"/>
  <c r="H11" i="6"/>
  <c r="H10" i="6"/>
  <c r="I10" i="6" s="1"/>
  <c r="I9" i="6"/>
  <c r="H9" i="6"/>
  <c r="H8" i="6"/>
  <c r="I8" i="6" s="1"/>
  <c r="I7" i="6"/>
  <c r="H7" i="6"/>
  <c r="H6" i="6"/>
  <c r="I6" i="6" s="1"/>
  <c r="H5" i="6"/>
  <c r="I5" i="6" s="1"/>
  <c r="I4" i="6"/>
  <c r="H4" i="6"/>
  <c r="B12" i="5"/>
  <c r="J11" i="5"/>
  <c r="I11" i="5"/>
  <c r="G11" i="5"/>
  <c r="C11" i="5"/>
  <c r="H11" i="5" s="1"/>
  <c r="J10" i="5"/>
  <c r="I10" i="5"/>
  <c r="H10" i="5"/>
  <c r="G10" i="5"/>
  <c r="C10" i="5"/>
  <c r="J9" i="5"/>
  <c r="I9" i="5"/>
  <c r="C9" i="5"/>
  <c r="H9" i="5" s="1"/>
  <c r="J8" i="5"/>
  <c r="I8" i="5"/>
  <c r="C8" i="5"/>
  <c r="H8" i="5" s="1"/>
  <c r="J7" i="5"/>
  <c r="I7" i="5"/>
  <c r="H7" i="5"/>
  <c r="C7" i="5"/>
  <c r="G7" i="5" s="1"/>
  <c r="J6" i="5"/>
  <c r="I6" i="5"/>
  <c r="C6" i="5"/>
  <c r="H6" i="5" s="1"/>
  <c r="J5" i="5"/>
  <c r="I5" i="5"/>
  <c r="G5" i="5"/>
  <c r="C5" i="5"/>
  <c r="H5" i="5" s="1"/>
  <c r="J4" i="5"/>
  <c r="I4" i="5"/>
  <c r="H4" i="5"/>
  <c r="C4" i="5"/>
  <c r="G4" i="5" s="1"/>
  <c r="J3" i="5"/>
  <c r="J12" i="5" s="1"/>
  <c r="I3" i="5"/>
  <c r="I12" i="5" s="1"/>
  <c r="C3" i="5"/>
  <c r="C12" i="5" s="1"/>
  <c r="D21" i="4"/>
  <c r="D20" i="4"/>
  <c r="D19" i="4"/>
  <c r="D18" i="4"/>
  <c r="D17" i="4"/>
  <c r="C14" i="4"/>
  <c r="B14" i="4"/>
  <c r="C13" i="4"/>
  <c r="C12" i="4"/>
  <c r="B12" i="4"/>
  <c r="C6" i="4"/>
  <c r="B6" i="4"/>
  <c r="J6" i="1" s="1"/>
  <c r="C4" i="4"/>
  <c r="B4" i="4"/>
  <c r="D62" i="3"/>
  <c r="J62" i="3" s="1"/>
  <c r="J61" i="3"/>
  <c r="D61" i="3"/>
  <c r="D60" i="3"/>
  <c r="J60" i="3" s="1"/>
  <c r="J59" i="3"/>
  <c r="D59" i="3"/>
  <c r="D58" i="3"/>
  <c r="J58" i="3" s="1"/>
  <c r="J57" i="3"/>
  <c r="D57" i="3"/>
  <c r="D56" i="3"/>
  <c r="J56" i="3" s="1"/>
  <c r="J55" i="3"/>
  <c r="D55" i="3"/>
  <c r="D54" i="3"/>
  <c r="J54" i="3" s="1"/>
  <c r="J53" i="3"/>
  <c r="D53" i="3"/>
  <c r="J52" i="3"/>
  <c r="D52" i="3"/>
  <c r="D51" i="3"/>
  <c r="J51" i="3" s="1"/>
  <c r="J50" i="3"/>
  <c r="D50" i="3"/>
  <c r="D49" i="3"/>
  <c r="J49" i="3" s="1"/>
  <c r="J48" i="3"/>
  <c r="D48" i="3"/>
  <c r="D47" i="3"/>
  <c r="J47" i="3" s="1"/>
  <c r="J46" i="3"/>
  <c r="D46" i="3"/>
  <c r="J45" i="3"/>
  <c r="D45" i="3"/>
  <c r="J44" i="3"/>
  <c r="D44" i="3"/>
  <c r="D43" i="3"/>
  <c r="J43" i="3" s="1"/>
  <c r="J42" i="3"/>
  <c r="D42" i="3"/>
  <c r="J41" i="3"/>
  <c r="D41" i="3"/>
  <c r="D40" i="3"/>
  <c r="J40" i="3" s="1"/>
  <c r="J39" i="3"/>
  <c r="D39" i="3"/>
  <c r="D38" i="3"/>
  <c r="J38" i="3" s="1"/>
  <c r="J37" i="3"/>
  <c r="D37" i="3"/>
  <c r="D36" i="3"/>
  <c r="J36" i="3" s="1"/>
  <c r="J35" i="3"/>
  <c r="D35" i="3"/>
  <c r="J34" i="3"/>
  <c r="D34" i="3"/>
  <c r="D33" i="3"/>
  <c r="J33" i="3" s="1"/>
  <c r="D32" i="3"/>
  <c r="J32" i="3" s="1"/>
  <c r="J31" i="3"/>
  <c r="D31" i="3"/>
  <c r="D30" i="3"/>
  <c r="J30" i="3" s="1"/>
  <c r="D29" i="3"/>
  <c r="J29" i="3" s="1"/>
  <c r="J28" i="3"/>
  <c r="D28" i="3"/>
  <c r="D27" i="3"/>
  <c r="J27" i="3" s="1"/>
  <c r="J26" i="3"/>
  <c r="D26" i="3"/>
  <c r="D25" i="3"/>
  <c r="J25" i="3" s="1"/>
  <c r="J24" i="3"/>
  <c r="D24" i="3"/>
  <c r="D23" i="3"/>
  <c r="J23" i="3" s="1"/>
  <c r="D22" i="3"/>
  <c r="J22" i="3" s="1"/>
  <c r="D21" i="3"/>
  <c r="J21" i="3" s="1"/>
  <c r="J20" i="3"/>
  <c r="D20" i="3"/>
  <c r="J19" i="3"/>
  <c r="D19" i="3"/>
  <c r="D18" i="3"/>
  <c r="J18" i="3" s="1"/>
  <c r="J17" i="3"/>
  <c r="D17" i="3"/>
  <c r="D16" i="3"/>
  <c r="J16" i="3" s="1"/>
  <c r="J15" i="3"/>
  <c r="D15" i="3"/>
  <c r="D14" i="3"/>
  <c r="J14" i="3" s="1"/>
  <c r="D13" i="3"/>
  <c r="D12" i="3"/>
  <c r="D11" i="3"/>
  <c r="D10" i="3"/>
  <c r="D9" i="3"/>
  <c r="D8" i="3"/>
  <c r="D7" i="3"/>
  <c r="D6" i="3"/>
  <c r="G5" i="3"/>
  <c r="D5" i="3"/>
  <c r="I4" i="3"/>
  <c r="D4" i="3"/>
  <c r="I3" i="3"/>
  <c r="G3" i="3"/>
  <c r="G4" i="3" s="1"/>
  <c r="F3" i="3"/>
  <c r="D3" i="3"/>
  <c r="H25" i="2"/>
  <c r="F25" i="2"/>
  <c r="G17" i="2" s="1"/>
  <c r="M17" i="2" s="1"/>
  <c r="M24" i="2"/>
  <c r="G24" i="2"/>
  <c r="I24" i="2" s="1"/>
  <c r="G23" i="2"/>
  <c r="M23" i="2" s="1"/>
  <c r="G22" i="2"/>
  <c r="I21" i="2"/>
  <c r="G21" i="2"/>
  <c r="L21" i="2" s="1"/>
  <c r="M20" i="2"/>
  <c r="L20" i="2"/>
  <c r="I20" i="2"/>
  <c r="G20" i="2"/>
  <c r="I19" i="2"/>
  <c r="G19" i="2"/>
  <c r="G18" i="2"/>
  <c r="M18" i="2" s="1"/>
  <c r="G15" i="2"/>
  <c r="M15" i="2" s="1"/>
  <c r="M14" i="2"/>
  <c r="L14" i="2"/>
  <c r="G14" i="2"/>
  <c r="I14" i="2" s="1"/>
  <c r="M13" i="2"/>
  <c r="G13" i="2"/>
  <c r="I13" i="2" s="1"/>
  <c r="G12" i="2"/>
  <c r="M12" i="2" s="1"/>
  <c r="G11" i="2"/>
  <c r="I10" i="2"/>
  <c r="G10" i="2"/>
  <c r="L10" i="2" s="1"/>
  <c r="M9" i="2"/>
  <c r="L9" i="2"/>
  <c r="I9" i="2"/>
  <c r="G9" i="2"/>
  <c r="G8" i="2"/>
  <c r="G7" i="2"/>
  <c r="M7" i="2" s="1"/>
  <c r="G4" i="2"/>
  <c r="M4" i="2" s="1"/>
  <c r="M3" i="2"/>
  <c r="L3" i="2"/>
  <c r="G3" i="2"/>
  <c r="D20" i="1"/>
  <c r="D19" i="1"/>
  <c r="D18" i="1"/>
  <c r="D17" i="1"/>
  <c r="D16" i="1"/>
  <c r="D15" i="1"/>
  <c r="J10" i="1"/>
  <c r="G6" i="1"/>
  <c r="D6" i="1"/>
  <c r="A6" i="1"/>
  <c r="C9" i="4" l="1"/>
  <c r="F4" i="7"/>
  <c r="L13" i="2"/>
  <c r="I17" i="2"/>
  <c r="L24" i="2"/>
  <c r="L17" i="2"/>
  <c r="I7" i="2"/>
  <c r="L11" i="2"/>
  <c r="I11" i="2"/>
  <c r="I18" i="2"/>
  <c r="I4" i="2"/>
  <c r="M19" i="2"/>
  <c r="L19" i="2"/>
  <c r="L15" i="2"/>
  <c r="F4" i="3"/>
  <c r="H3" i="3"/>
  <c r="M10" i="2"/>
  <c r="M21" i="2"/>
  <c r="M10" i="1"/>
  <c r="M8" i="2"/>
  <c r="L8" i="2"/>
  <c r="I15" i="2"/>
  <c r="L4" i="2"/>
  <c r="I8" i="2"/>
  <c r="I12" i="2"/>
  <c r="I23" i="2"/>
  <c r="L12" i="2"/>
  <c r="L23" i="2"/>
  <c r="L22" i="2"/>
  <c r="I22" i="2"/>
  <c r="G6" i="3"/>
  <c r="I5" i="3"/>
  <c r="L7" i="2"/>
  <c r="M11" i="2"/>
  <c r="L18" i="2"/>
  <c r="M22" i="2"/>
  <c r="B11" i="4"/>
  <c r="D10" i="1" s="1"/>
  <c r="B9" i="4"/>
  <c r="G3" i="5"/>
  <c r="H3" i="5"/>
  <c r="E12" i="5" s="1"/>
  <c r="G5" i="2"/>
  <c r="G25" i="2" s="1"/>
  <c r="G16" i="2"/>
  <c r="G8" i="5"/>
  <c r="G6" i="5"/>
  <c r="E5" i="7"/>
  <c r="F5" i="7" s="1"/>
  <c r="I3" i="2"/>
  <c r="G6" i="2"/>
  <c r="G9" i="5"/>
  <c r="M5" i="2" l="1"/>
  <c r="I5" i="2"/>
  <c r="I25" i="2" s="1"/>
  <c r="L5" i="2"/>
  <c r="L25" i="2" s="1"/>
  <c r="D12" i="5"/>
  <c r="G10" i="1" s="1"/>
  <c r="M6" i="2"/>
  <c r="L6" i="2"/>
  <c r="I6" i="2"/>
  <c r="E10" i="7"/>
  <c r="F5" i="3"/>
  <c r="H4" i="3"/>
  <c r="M16" i="2"/>
  <c r="I16" i="2"/>
  <c r="L16" i="2"/>
  <c r="I6" i="3"/>
  <c r="G7" i="3"/>
  <c r="G8" i="3" l="1"/>
  <c r="I7" i="3"/>
  <c r="F6" i="3"/>
  <c r="H5" i="3"/>
  <c r="H6" i="3" l="1"/>
  <c r="F7" i="3"/>
  <c r="I8" i="3"/>
  <c r="G9" i="3"/>
  <c r="G10" i="3" l="1"/>
  <c r="I9" i="3"/>
  <c r="F8" i="3"/>
  <c r="H7" i="3"/>
  <c r="H8" i="3" l="1"/>
  <c r="F9" i="3"/>
  <c r="I10" i="3"/>
  <c r="G11" i="3"/>
  <c r="G12" i="3" l="1"/>
  <c r="I11" i="3"/>
  <c r="F10" i="3"/>
  <c r="H9" i="3"/>
  <c r="F11" i="3" l="1"/>
  <c r="H10" i="3"/>
  <c r="G13" i="3"/>
  <c r="I12" i="3"/>
  <c r="G14" i="3" l="1"/>
  <c r="I13" i="3"/>
  <c r="F12" i="3"/>
  <c r="H11" i="3"/>
  <c r="F13" i="3" l="1"/>
  <c r="H12" i="3"/>
  <c r="I14" i="3"/>
  <c r="G15" i="3"/>
  <c r="G16" i="3" l="1"/>
  <c r="I15" i="3"/>
  <c r="F14" i="3"/>
  <c r="H13" i="3"/>
  <c r="F15" i="3" l="1"/>
  <c r="H14" i="3"/>
  <c r="I16" i="3"/>
  <c r="G17" i="3"/>
  <c r="G18" i="3" l="1"/>
  <c r="I17" i="3"/>
  <c r="F16" i="3"/>
  <c r="H15" i="3"/>
  <c r="F17" i="3" l="1"/>
  <c r="H16" i="3"/>
  <c r="I18" i="3"/>
  <c r="G19" i="3"/>
  <c r="G20" i="3" l="1"/>
  <c r="I19" i="3"/>
  <c r="F18" i="3"/>
  <c r="H17" i="3"/>
  <c r="F19" i="3" l="1"/>
  <c r="H18" i="3"/>
  <c r="I20" i="3"/>
  <c r="G21" i="3"/>
  <c r="G22" i="3" l="1"/>
  <c r="I21" i="3"/>
  <c r="H19" i="3"/>
  <c r="F20" i="3"/>
  <c r="H20" i="3" l="1"/>
  <c r="F21" i="3"/>
  <c r="G23" i="3"/>
  <c r="I22" i="3"/>
  <c r="G24" i="3" l="1"/>
  <c r="I23" i="3"/>
  <c r="H21" i="3"/>
  <c r="F22" i="3"/>
  <c r="H22" i="3" l="1"/>
  <c r="F23" i="3"/>
  <c r="G25" i="3"/>
  <c r="I24" i="3"/>
  <c r="I25" i="3" l="1"/>
  <c r="G26" i="3"/>
  <c r="F24" i="3"/>
  <c r="H23" i="3"/>
  <c r="H24" i="3" l="1"/>
  <c r="F25" i="3"/>
  <c r="G27" i="3"/>
  <c r="I26" i="3"/>
  <c r="I27" i="3" l="1"/>
  <c r="G28" i="3"/>
  <c r="F26" i="3"/>
  <c r="H25" i="3"/>
  <c r="H26" i="3" l="1"/>
  <c r="F27" i="3"/>
  <c r="I28" i="3"/>
  <c r="G29" i="3"/>
  <c r="I29" i="3" l="1"/>
  <c r="G30" i="3"/>
  <c r="F28" i="3"/>
  <c r="H27" i="3"/>
  <c r="F29" i="3" l="1"/>
  <c r="H28" i="3"/>
  <c r="I30" i="3"/>
  <c r="G31" i="3"/>
  <c r="I31" i="3" l="1"/>
  <c r="G32" i="3"/>
  <c r="F30" i="3"/>
  <c r="H29" i="3"/>
  <c r="F31" i="3" l="1"/>
  <c r="H30" i="3"/>
  <c r="G33" i="3"/>
  <c r="I32" i="3"/>
  <c r="I33" i="3" l="1"/>
  <c r="G34" i="3"/>
  <c r="H31" i="3"/>
  <c r="F32" i="3"/>
  <c r="F33" i="3" l="1"/>
  <c r="H32" i="3"/>
  <c r="G35" i="3"/>
  <c r="I34" i="3"/>
  <c r="G36" i="3" l="1"/>
  <c r="I35" i="3"/>
  <c r="H33" i="3"/>
  <c r="F34" i="3"/>
  <c r="F35" i="3" l="1"/>
  <c r="H34" i="3"/>
  <c r="G37" i="3"/>
  <c r="I36" i="3"/>
  <c r="G38" i="3" l="1"/>
  <c r="I37" i="3"/>
  <c r="H35" i="3"/>
  <c r="F36" i="3"/>
  <c r="F37" i="3" l="1"/>
  <c r="H36" i="3"/>
  <c r="I38" i="3"/>
  <c r="G39" i="3"/>
  <c r="G40" i="3" l="1"/>
  <c r="I39" i="3"/>
  <c r="F38" i="3"/>
  <c r="H37" i="3"/>
  <c r="F39" i="3" l="1"/>
  <c r="H38" i="3"/>
  <c r="I40" i="3"/>
  <c r="G41" i="3"/>
  <c r="G42" i="3" l="1"/>
  <c r="I41" i="3"/>
  <c r="F40" i="3"/>
  <c r="H39" i="3"/>
  <c r="H40" i="3" l="1"/>
  <c r="F41" i="3"/>
  <c r="I42" i="3"/>
  <c r="G43" i="3"/>
  <c r="G44" i="3" l="1"/>
  <c r="I43" i="3"/>
  <c r="H41" i="3"/>
  <c r="F42" i="3"/>
  <c r="H42" i="3" l="1"/>
  <c r="F43" i="3"/>
  <c r="I44" i="3"/>
  <c r="G45" i="3"/>
  <c r="G46" i="3" l="1"/>
  <c r="I45" i="3"/>
  <c r="F44" i="3"/>
  <c r="H43" i="3"/>
  <c r="H44" i="3" l="1"/>
  <c r="F45" i="3"/>
  <c r="I46" i="3"/>
  <c r="G47" i="3"/>
  <c r="G48" i="3" l="1"/>
  <c r="I47" i="3"/>
  <c r="F46" i="3"/>
  <c r="H45" i="3"/>
  <c r="H46" i="3" l="1"/>
  <c r="F47" i="3"/>
  <c r="G49" i="3"/>
  <c r="I48" i="3"/>
  <c r="I49" i="3" l="1"/>
  <c r="G50" i="3"/>
  <c r="F48" i="3"/>
  <c r="H47" i="3"/>
  <c r="F49" i="3" l="1"/>
  <c r="H48" i="3"/>
  <c r="G51" i="3"/>
  <c r="I50" i="3"/>
  <c r="I51" i="3" l="1"/>
  <c r="G52" i="3"/>
  <c r="H49" i="3"/>
  <c r="F50" i="3"/>
  <c r="F51" i="3" l="1"/>
  <c r="H50" i="3"/>
  <c r="G53" i="3"/>
  <c r="I52" i="3"/>
  <c r="I53" i="3" l="1"/>
  <c r="G54" i="3"/>
  <c r="H51" i="3"/>
  <c r="F52" i="3"/>
  <c r="F53" i="3" l="1"/>
  <c r="H52" i="3"/>
  <c r="G55" i="3"/>
  <c r="I54" i="3"/>
  <c r="G56" i="3" l="1"/>
  <c r="I55" i="3"/>
  <c r="H53" i="3"/>
  <c r="F54" i="3"/>
  <c r="F55" i="3" l="1"/>
  <c r="H54" i="3"/>
  <c r="G57" i="3"/>
  <c r="I56" i="3"/>
  <c r="I57" i="3" l="1"/>
  <c r="G58" i="3"/>
  <c r="H55" i="3"/>
  <c r="F56" i="3"/>
  <c r="F57" i="3" l="1"/>
  <c r="H56" i="3"/>
  <c r="G59" i="3"/>
  <c r="I58" i="3"/>
  <c r="G60" i="3" l="1"/>
  <c r="I59" i="3"/>
  <c r="H57" i="3"/>
  <c r="F58" i="3"/>
  <c r="F59" i="3" l="1"/>
  <c r="H58" i="3"/>
  <c r="I60" i="3"/>
  <c r="G61" i="3"/>
  <c r="G62" i="3" l="1"/>
  <c r="I62" i="3" s="1"/>
  <c r="C7" i="4" s="1"/>
  <c r="I61" i="3"/>
  <c r="H59" i="3"/>
  <c r="F60" i="3"/>
  <c r="F61" i="3" l="1"/>
  <c r="H60" i="3"/>
  <c r="F62" i="3" l="1"/>
  <c r="H62" i="3" s="1"/>
  <c r="B7" i="4" s="1"/>
  <c r="M6" i="1" s="1"/>
  <c r="H61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<sst xmlns="http://schemas.openxmlformats.org/spreadsheetml/2006/main" count="347" uniqueCount="239">
  <si>
    <t>$170 Million Multi-Asset Portfolio Analysis</t>
  </si>
  <si>
    <t>Representative, anonymized portfolio | Synthetic data | As of December 31, 2025</t>
  </si>
  <si>
    <t>Portfolio AUM</t>
  </si>
  <si>
    <t>5-Year Annualized Return</t>
  </si>
  <si>
    <t>Benchmark Return</t>
  </si>
  <si>
    <t>Sharpe Ratio</t>
  </si>
  <si>
    <t>Maximum Drawdown</t>
  </si>
  <si>
    <t>Tracking Error</t>
  </si>
  <si>
    <t>Information Ratio</t>
  </si>
  <si>
    <t>Fixed-Income Duration</t>
  </si>
  <si>
    <t>Worst Stress Test</t>
  </si>
  <si>
    <t>Largest Holding</t>
  </si>
  <si>
    <t>Asset Class</t>
  </si>
  <si>
    <t>Current Weight</t>
  </si>
  <si>
    <t>Policy Weight</t>
  </si>
  <si>
    <t>Active Weight</t>
  </si>
  <si>
    <t>Public Equity</t>
  </si>
  <si>
    <t>Fixed Income</t>
  </si>
  <si>
    <t>Private Markets</t>
  </si>
  <si>
    <t>Real Assets</t>
  </si>
  <si>
    <t>Diversifiers</t>
  </si>
  <si>
    <t>Cash</t>
  </si>
  <si>
    <t>Portfolio Diagnostic and Recommended Actions</t>
  </si>
  <si>
    <t>1</t>
  </si>
  <si>
    <t>Equity risk remains the dominant risk contributor despite a 42% capital allocation.</t>
  </si>
  <si>
    <t>Trim public equity by approximately $3.4 million and redirect capital toward high-quality fixed income.</t>
  </si>
  <si>
    <t>2</t>
  </si>
  <si>
    <t>The synthetic portfolio outperformed its policy benchmark with improved downside protection.</t>
  </si>
  <si>
    <t>Maintain private credit, real assets, and managed futures rather than increasing equity beta.</t>
  </si>
  <si>
    <t>3</t>
  </si>
  <si>
    <t>Fixed-income duration is moderate and can be increased within the liquidity budget.</t>
  </si>
  <si>
    <t>Add approximately $5.1 million to core bonds and Treasuries to improve recession resilience.</t>
  </si>
  <si>
    <t>4</t>
  </si>
  <si>
    <t>No individual representative holding exceeds the 10% concentration review threshold.</t>
  </si>
  <si>
    <t>Continue monitoring combined US large-cap and technology factor exposure.</t>
  </si>
  <si>
    <t>Disclosure: This dashboard uses entirely synthetic data for a representative $170 million multi-asset portfolio. It does not contain client information, actual holdings, or proprietary employer data, and it does not imply discretionary authority over $170 million.</t>
  </si>
  <si>
    <t>$170 Million Multi-Asset Portfolio - Representative Holdings</t>
  </si>
  <si>
    <t>Holding</t>
  </si>
  <si>
    <t>Sub-Asset Class</t>
  </si>
  <si>
    <t>Geography</t>
  </si>
  <si>
    <t>Sector / Credit</t>
  </si>
  <si>
    <t>Market Value ($)</t>
  </si>
  <si>
    <t>Portfolio Weight</t>
  </si>
  <si>
    <t>1-Year Return</t>
  </si>
  <si>
    <t>Expense Ratio</t>
  </si>
  <si>
    <t>Contribution to Return</t>
  </si>
  <si>
    <t>Concentration Flag</t>
  </si>
  <si>
    <t>US Large Cap Core Fund</t>
  </si>
  <si>
    <t>US Large Cap</t>
  </si>
  <si>
    <t>United States</t>
  </si>
  <si>
    <t>Multi-Sector</t>
  </si>
  <si>
    <t>US Large Cap Growth Fund</t>
  </si>
  <si>
    <t>US Large Cap Growth</t>
  </si>
  <si>
    <t>Technology</t>
  </si>
  <si>
    <t>US Small Cap Value Fund</t>
  </si>
  <si>
    <t>US Small Cap Value</t>
  </si>
  <si>
    <t>Developed Markets Equity Fund</t>
  </si>
  <si>
    <t>International Developed</t>
  </si>
  <si>
    <t>Developed ex-US</t>
  </si>
  <si>
    <t>Emerging Markets Equity Fund</t>
  </si>
  <si>
    <t>Emerging Markets</t>
  </si>
  <si>
    <t>Global Quality Equity Fund</t>
  </si>
  <si>
    <t>Global Equity</t>
  </si>
  <si>
    <t>Global</t>
  </si>
  <si>
    <t>Quality Factor</t>
  </si>
  <si>
    <t>US Treasury Ladder</t>
  </si>
  <si>
    <t>US Treasuries</t>
  </si>
  <si>
    <t>AAA / Government</t>
  </si>
  <si>
    <t>Core Aggregate Bond Fund</t>
  </si>
  <si>
    <t>Core Bonds</t>
  </si>
  <si>
    <t>Investment Grade</t>
  </si>
  <si>
    <t>Short Duration Credit Fund</t>
  </si>
  <si>
    <t>Short Credit</t>
  </si>
  <si>
    <t>A / BBB</t>
  </si>
  <si>
    <t>Municipal Bond Portfolio</t>
  </si>
  <si>
    <t>Municipal Bonds</t>
  </si>
  <si>
    <t>AA / A</t>
  </si>
  <si>
    <t>High Yield Bond Fund</t>
  </si>
  <si>
    <t>High Yield</t>
  </si>
  <si>
    <t>BB / B</t>
  </si>
  <si>
    <t>TIPS Portfolio</t>
  </si>
  <si>
    <t>Inflation Protected</t>
  </si>
  <si>
    <t>Private Credit Fund A</t>
  </si>
  <si>
    <t>Private Credit</t>
  </si>
  <si>
    <t>Senior Secured</t>
  </si>
  <si>
    <t>Private Credit Fund B</t>
  </si>
  <si>
    <t>North America</t>
  </si>
  <si>
    <t>Direct Lending</t>
  </si>
  <si>
    <t>Middle-Market Buyout Fund</t>
  </si>
  <si>
    <t>Private Equity</t>
  </si>
  <si>
    <t>Diversified</t>
  </si>
  <si>
    <t>Infrastructure Fund</t>
  </si>
  <si>
    <t>Infrastructure</t>
  </si>
  <si>
    <t>Core Real Estate Fund</t>
  </si>
  <si>
    <t>Real Estate</t>
  </si>
  <si>
    <t>REIT Index Fund</t>
  </si>
  <si>
    <t>Public Real Estate</t>
  </si>
  <si>
    <t>Gold ETF</t>
  </si>
  <si>
    <t>Commodities</t>
  </si>
  <si>
    <t>Gold</t>
  </si>
  <si>
    <t>Managed Futures Fund</t>
  </si>
  <si>
    <t>Managed Futures</t>
  </si>
  <si>
    <t>Trend Following</t>
  </si>
  <si>
    <t>Market Neutral Fund</t>
  </si>
  <si>
    <t>Market Neutral</t>
  </si>
  <si>
    <t>Low Beta</t>
  </si>
  <si>
    <t>Cash &amp; Treasury Bills</t>
  </si>
  <si>
    <t>Cash Equivalents</t>
  </si>
  <si>
    <t>Government</t>
  </si>
  <si>
    <t>Portfolio Total</t>
  </si>
  <si>
    <t>Synthetic Monthly Return History - January 2021 to December 2025</t>
  </si>
  <si>
    <t>Month</t>
  </si>
  <si>
    <t>Portfolio Return</t>
  </si>
  <si>
    <t>Policy Benchmark</t>
  </si>
  <si>
    <t>Active Return</t>
  </si>
  <si>
    <t>Risk-Free Rate</t>
  </si>
  <si>
    <t>Portfolio Growth of $1</t>
  </si>
  <si>
    <t>Benchmark Growth of $1</t>
  </si>
  <si>
    <t>Portfolio Drawdown</t>
  </si>
  <si>
    <t>Benchmark Drawdown</t>
  </si>
  <si>
    <t>Rolling 12M Active Return</t>
  </si>
  <si>
    <t>Risk and Performance Analytics</t>
  </si>
  <si>
    <t>Metric</t>
  </si>
  <si>
    <t>Portfolio</t>
  </si>
  <si>
    <t>Benchmark</t>
  </si>
  <si>
    <t>Interpretation</t>
  </si>
  <si>
    <t>Compounded return over the synthetic five-year period.</t>
  </si>
  <si>
    <t>Annualized Volatility</t>
  </si>
  <si>
    <t>Standard deviation of monthly returns, annualized.</t>
  </si>
  <si>
    <t>Excess return per unit of total risk.</t>
  </si>
  <si>
    <t>Largest peak-to-trough decline.</t>
  </si>
  <si>
    <t>Downside Deviation</t>
  </si>
  <si>
    <t>Annualized volatility of negative months.</t>
  </si>
  <si>
    <t>Sortino Ratio</t>
  </si>
  <si>
    <t>Excess return per unit of downside risk.</t>
  </si>
  <si>
    <t>-</t>
  </si>
  <si>
    <t>Annualized volatility of active returns.</t>
  </si>
  <si>
    <t>Annualized active return divided by tracking error.</t>
  </si>
  <si>
    <t>Positive Months</t>
  </si>
  <si>
    <t>Percentage of positive months.</t>
  </si>
  <si>
    <t>Beta to Benchmark</t>
  </si>
  <si>
    <t>Sensitivity to benchmark returns.</t>
  </si>
  <si>
    <t>Correlation to Benchmark</t>
  </si>
  <si>
    <t>Degree of co-movement with policy benchmark.</t>
  </si>
  <si>
    <t>Risk Budget</t>
  </si>
  <si>
    <t>Estimated Volatility</t>
  </si>
  <si>
    <t>Risk Contribution</t>
  </si>
  <si>
    <t>Diversifiers / Cash</t>
  </si>
  <si>
    <t>Fixed-Income Duration and Credit Analysis</t>
  </si>
  <si>
    <t>Weight</t>
  </si>
  <si>
    <t>Duration</t>
  </si>
  <si>
    <t>Yield to Maturity</t>
  </si>
  <si>
    <t>Credit Quality</t>
  </si>
  <si>
    <t>Duration Contribution</t>
  </si>
  <si>
    <t>Yield Contribution</t>
  </si>
  <si>
    <t>Rate Shock +100 bps</t>
  </si>
  <si>
    <t>Rate Shock -100 bps</t>
  </si>
  <si>
    <t>AAA</t>
  </si>
  <si>
    <t>A</t>
  </si>
  <si>
    <t>BBB</t>
  </si>
  <si>
    <t>AA</t>
  </si>
  <si>
    <t>BB</t>
  </si>
  <si>
    <t>Fixed-Income Portfolio Total / Weighted Average</t>
  </si>
  <si>
    <t>Scenario and Stress Testing</t>
  </si>
  <si>
    <t>Scenario</t>
  </si>
  <si>
    <t>Estimated Portfolio Return</t>
  </si>
  <si>
    <t>Estimated $ Impact</t>
  </si>
  <si>
    <t>2008-Style Recession</t>
  </si>
  <si>
    <t>Severe equity and liquidity shock; Treasuries and diversifiers cushion losses.</t>
  </si>
  <si>
    <t>2022 Inflation / Rate Shock</t>
  </si>
  <si>
    <t>Equities and duration fall together; trend strategies provide diversification.</t>
  </si>
  <si>
    <t>Growth Slowdown</t>
  </si>
  <si>
    <t>Defensive bonds offset part of the decline.</t>
  </si>
  <si>
    <t>Rates -100 bps</t>
  </si>
  <si>
    <t>Duration and rate-sensitive assets benefit.</t>
  </si>
  <si>
    <t>Rates +100 bps</t>
  </si>
  <si>
    <t>Moderate duration loss and multiple compression.</t>
  </si>
  <si>
    <t>AI / Productivity Upside</t>
  </si>
  <si>
    <t>Growth assets lead; diversifiers lag.</t>
  </si>
  <si>
    <t>Dollar +10%</t>
  </si>
  <si>
    <t>International exposure creates a translation headwind.</t>
  </si>
  <si>
    <t>Liquidity Freeze</t>
  </si>
  <si>
    <t>Private and real assets experience valuation and liquidity pressure.</t>
  </si>
  <si>
    <t>Rebalancing Recommendations</t>
  </si>
  <si>
    <t>Difference</t>
  </si>
  <si>
    <t>Dollar Trade</t>
  </si>
  <si>
    <t>Recommendation</t>
  </si>
  <si>
    <t>Rationale</t>
  </si>
  <si>
    <t>Expected Risk Effect</t>
  </si>
  <si>
    <t>Priority</t>
  </si>
  <si>
    <t>Trim equity after strong performance; preserve diversified regional and factor exposure.</t>
  </si>
  <si>
    <t>Reduces volatility and drawdown sensitivity</t>
  </si>
  <si>
    <t>High</t>
  </si>
  <si>
    <t>Add high-quality duration and short credit to improve downside protection and liquidity.</t>
  </si>
  <si>
    <t>Improves recession resilience</t>
  </si>
  <si>
    <t>Maintain exposure but pace commitments carefully due to illiquidity.</t>
  </si>
  <si>
    <t>Neutral; preserves illiquidity budget</t>
  </si>
  <si>
    <t>Medium</t>
  </si>
  <si>
    <t>Trim overlapping real estate and commodity exposure.</t>
  </si>
  <si>
    <t>Modestly reduces inflation beta</t>
  </si>
  <si>
    <t>Maintain managed futures and market-neutral exposure.</t>
  </si>
  <si>
    <t>Preserves non-equity diversification</t>
  </si>
  <si>
    <t>Low</t>
  </si>
  <si>
    <t>Maintain operating liquidity and dry powder.</t>
  </si>
  <si>
    <t>Neutral</t>
  </si>
  <si>
    <t>Total / Net Trade</t>
  </si>
  <si>
    <t>Methodology, Assumptions, and Disclosure</t>
  </si>
  <si>
    <t>Item</t>
  </si>
  <si>
    <t>Description</t>
  </si>
  <si>
    <t>Purpose</t>
  </si>
  <si>
    <t>Demonstrate institutional-style portfolio analytics for a representative $170 million multi-asset portfolio.</t>
  </si>
  <si>
    <t>Portfolio Data</t>
  </si>
  <si>
    <t>All holdings, market values, returns, benchmark results, and scenarios are synthetic and were created solely for this educational portfolio project.</t>
  </si>
  <si>
    <t>Confidentiality</t>
  </si>
  <si>
    <t>No client names, account numbers, actual holdings, employer systems, proprietary manager research, or confidential performance data are included.</t>
  </si>
  <si>
    <t>Performance Period</t>
  </si>
  <si>
    <t>Synthetic monthly returns from January 2021 through December 2025.</t>
  </si>
  <si>
    <t>Representative blended benchmark: 40% public equity, 30% fixed income, 12% private markets, 10% real assets, 5% diversifiers, and 3% cash.</t>
  </si>
  <si>
    <t>Annualized portfolio return less annualized synthetic risk-free rate, divided by annualized volatility.</t>
  </si>
  <si>
    <t>Largest decline from a prior cumulative-return peak.</t>
  </si>
  <si>
    <t>Annualized standard deviation of monthly active returns.</t>
  </si>
  <si>
    <t>Stress Testing</t>
  </si>
  <si>
    <t>Linear factor shocks applied to asset-class weights; results are illustrative and do not represent forecasts.</t>
  </si>
  <si>
    <t>Rebalancing</t>
  </si>
  <si>
    <t>Differences between representative current weights and policy targets multiplied by $170 million.</t>
  </si>
  <si>
    <t>Website Attribution</t>
  </si>
  <si>
    <t>Created by Davis Sahr as an independent analytical portfolio project.</t>
  </si>
  <si>
    <t>Disclosure</t>
  </si>
  <si>
    <t>Educational analysis only. Not investment advice, a client report, or a representation of discretionary investment authority.</t>
  </si>
  <si>
    <t>Reference Links</t>
  </si>
  <si>
    <t>Public methodology references</t>
  </si>
  <si>
    <t>CFA Institute</t>
  </si>
  <si>
    <t>https://www.cfainstitute.org/</t>
  </si>
  <si>
    <t>MSCI Index Methodology</t>
  </si>
  <si>
    <t>https://www.msci.com/index-methodology</t>
  </si>
  <si>
    <t>Federal Reserve Economic Data</t>
  </si>
  <si>
    <t>https://fred.stlouisfed.org/</t>
  </si>
  <si>
    <t>RPAG</t>
  </si>
  <si>
    <t>Private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</si>
</sst>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$#,##0;[Red]\(\$#,##0\);\-"/>
    <numFmt numFmtId="165" formatCode="0.0%;[Red]\(0.0%\);\-"/>
    <numFmt numFmtId="166" formatCode="0.00\x"/>
    <numFmt numFmtId="167" formatCode="0.00;[Red]\(0.00\);\-"/>
    <numFmt numFmtId="168" formatCode="0.0"/>
    <numFmt numFmtId="169" formatCode="\$0.0,,&quot;M&quot;;[Red]\(\$0.0,,&quot;M&quot;\);\-"/>
  </numFmts>
  <fonts count="14">
    <font>
      <sz val="11"/>
      <name val="Carlito"/>
    </font>
    <font>
      <b/>
      <sz val="16"/>
      <color rgb="FFFFFFFF"/>
      <name val="Carlito"/>
    </font>
    <font>
      <b/>
      <sz val="11"/>
      <color rgb="FFFFFFFF"/>
      <name val="Carlito"/>
    </font>
    <font>
      <b/>
      <sz val="11"/>
      <name val="Carlito"/>
    </font>
    <font>
      <sz val="11"/>
      <color rgb="FF0000FF"/>
      <name val="Carlito"/>
    </font>
    <font>
      <b/>
      <sz val="15"/>
      <color rgb="FFFFFFFF"/>
      <name val="Carlito"/>
    </font>
    <font>
      <b/>
      <sz val="11"/>
      <color rgb="FF16324F"/>
      <name val="Carlito"/>
    </font>
    <font>
      <sz val="11"/>
      <color rgb="FF008000"/>
      <name val="Carlito"/>
    </font>
    <font>
      <b/>
      <sz val="20"/>
      <color rgb="FFFFFFFF"/>
      <name val="Carlito"/>
    </font>
    <font>
      <i/>
      <sz val="10"/>
      <color rgb="FF4B5563"/>
      <name val="Carlito"/>
    </font>
    <font>
      <b/>
      <sz val="16"/>
      <color rgb="FF16324F"/>
      <name val="Carlito"/>
    </font>
    <font>
      <b/>
      <sz val="13"/>
      <color rgb="FFFFFFFF"/>
      <name val="Carlito"/>
    </font>
    <font>
      <b/>
      <sz val="12"/>
      <color rgb="FF16324F"/>
      <name val="Carlito"/>
    </font>
    <font>
      <i/>
      <sz val="9"/>
      <color rgb="FF7F6000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16324F"/>
      </patternFill>
    </fill>
    <fill>
      <patternFill patternType="solid">
        <fgColor rgb="FF2F75B5"/>
      </patternFill>
    </fill>
    <fill>
      <patternFill patternType="solid">
        <fgColor rgb="FFD9EAF7"/>
      </patternFill>
    </fill>
    <fill>
      <patternFill patternType="solid">
        <fgColor rgb="FFE9EFF5"/>
      </patternFill>
    </fill>
    <fill>
      <patternFill patternType="solid">
        <fgColor rgb="FFFFFFFF"/>
      </patternFill>
    </fill>
    <fill>
      <patternFill patternType="solid">
        <fgColor rgb="FF2A7F9E"/>
      </patternFill>
    </fill>
    <fill>
      <patternFill patternType="solid">
        <fgColor rgb="FFF8FAFC"/>
      </patternFill>
    </fill>
    <fill>
      <patternFill patternType="solid">
        <fgColor rgb="FFEDF6F3"/>
      </patternFill>
    </fill>
    <fill>
      <patternFill patternType="solid">
        <fgColor rgb="FFFFF2CC"/>
      </patternFill>
    </fill>
  </fills>
  <borders count="7">
    <border>
      <left/>
      <right/>
      <top/>
      <bottom/>
      <diagonal/>
    </border>
    <border>
      <left/>
      <right/>
      <top style="thin">
        <color rgb="FF16324F"/>
      </top>
      <bottom/>
      <diagonal/>
    </border>
    <border>
      <left style="thin">
        <color rgb="FFB7C9D6"/>
      </left>
      <right/>
      <top/>
      <bottom/>
      <diagonal/>
    </border>
    <border>
      <left/>
      <right style="thin">
        <color rgb="FFB7C9D6"/>
      </right>
      <top/>
      <bottom/>
      <diagonal/>
    </border>
    <border>
      <left style="thin">
        <color rgb="FFB7C9D6"/>
      </left>
      <right/>
      <top/>
      <bottom style="thin">
        <color rgb="FFB7C9D6"/>
      </bottom>
      <diagonal/>
    </border>
    <border>
      <left/>
      <right/>
      <top/>
      <bottom style="thin">
        <color rgb="FFB7C9D6"/>
      </bottom>
      <diagonal/>
    </border>
    <border>
      <left/>
      <right style="thin">
        <color rgb="FFB7C9D6"/>
      </right>
      <top/>
      <bottom style="thin">
        <color rgb="FFB7C9D6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 wrapText="1"/>
    </xf>
    <xf numFmtId="0" fontId="3" fillId="4" borderId="1" xfId="0" applyFont="1" applyFill="1" applyBorder="1"/>
    <xf numFmtId="164" fontId="0" fillId="0" borderId="0" xfId="0" applyNumberFormat="1"/>
    <xf numFmtId="164" fontId="3" fillId="4" borderId="1" xfId="0" applyNumberFormat="1" applyFont="1" applyFill="1" applyBorder="1"/>
    <xf numFmtId="165" fontId="0" fillId="0" borderId="0" xfId="0" applyNumberFormat="1"/>
    <xf numFmtId="165" fontId="3" fillId="4" borderId="1" xfId="0" applyNumberFormat="1" applyFont="1" applyFill="1" applyBorder="1"/>
    <xf numFmtId="0" fontId="4" fillId="0" borderId="0" xfId="0" applyFont="1"/>
    <xf numFmtId="164" fontId="4" fillId="0" borderId="0" xfId="0" applyNumberFormat="1" applyFont="1"/>
    <xf numFmtId="165" fontId="4" fillId="0" borderId="0" xfId="0" applyNumberFormat="1" applyFont="1"/>
    <xf numFmtId="166" fontId="0" fillId="0" borderId="0" xfId="0" applyNumberFormat="1"/>
    <xf numFmtId="17" fontId="4" fillId="0" borderId="0" xfId="0" applyNumberFormat="1" applyFont="1"/>
    <xf numFmtId="167" fontId="0" fillId="0" borderId="0" xfId="0" applyNumberFormat="1"/>
    <xf numFmtId="168" fontId="3" fillId="4" borderId="1" xfId="0" applyNumberFormat="1" applyFont="1" applyFill="1" applyBorder="1"/>
    <xf numFmtId="168" fontId="4" fillId="0" borderId="0" xfId="0" applyNumberFormat="1" applyFont="1"/>
    <xf numFmtId="0" fontId="2" fillId="2" borderId="0" xfId="0" applyFont="1" applyFill="1"/>
    <xf numFmtId="0" fontId="6" fillId="0" borderId="0" xfId="0" applyFont="1"/>
    <xf numFmtId="0" fontId="0" fillId="0" borderId="0" xfId="0" applyAlignment="1">
      <alignment wrapText="1"/>
    </xf>
    <xf numFmtId="0" fontId="7" fillId="0" borderId="0" xfId="0" applyFont="1"/>
    <xf numFmtId="0" fontId="12" fillId="4" borderId="0" xfId="0" applyFont="1" applyFill="1" applyAlignment="1">
      <alignment horizontal="center" vertical="center"/>
    </xf>
    <xf numFmtId="0" fontId="8" fillId="2" borderId="0" xfId="0" applyFont="1" applyFill="1"/>
    <xf numFmtId="0" fontId="9" fillId="5" borderId="0" xfId="0" applyFont="1" applyFill="1"/>
    <xf numFmtId="0" fontId="2" fillId="3" borderId="0" xfId="0" applyFont="1" applyFill="1" applyAlignment="1">
      <alignment horizontal="center"/>
    </xf>
    <xf numFmtId="169" fontId="10" fillId="6" borderId="2" xfId="0" applyNumberFormat="1" applyFont="1" applyFill="1" applyBorder="1" applyAlignment="1">
      <alignment horizontal="center" vertical="center"/>
    </xf>
    <xf numFmtId="169" fontId="10" fillId="6" borderId="0" xfId="0" applyNumberFormat="1" applyFont="1" applyFill="1" applyAlignment="1">
      <alignment horizontal="center" vertical="center"/>
    </xf>
    <xf numFmtId="169" fontId="10" fillId="6" borderId="3" xfId="0" applyNumberFormat="1" applyFont="1" applyFill="1" applyBorder="1" applyAlignment="1">
      <alignment horizontal="center" vertical="center"/>
    </xf>
    <xf numFmtId="169" fontId="10" fillId="6" borderId="4" xfId="0" applyNumberFormat="1" applyFont="1" applyFill="1" applyBorder="1" applyAlignment="1">
      <alignment horizontal="center" vertical="center"/>
    </xf>
    <xf numFmtId="169" fontId="10" fillId="6" borderId="5" xfId="0" applyNumberFormat="1" applyFont="1" applyFill="1" applyBorder="1" applyAlignment="1">
      <alignment horizontal="center" vertical="center"/>
    </xf>
    <xf numFmtId="169" fontId="10" fillId="6" borderId="6" xfId="0" applyNumberFormat="1" applyFont="1" applyFill="1" applyBorder="1" applyAlignment="1">
      <alignment horizontal="center" vertical="center"/>
    </xf>
    <xf numFmtId="165" fontId="10" fillId="6" borderId="2" xfId="0" applyNumberFormat="1" applyFont="1" applyFill="1" applyBorder="1" applyAlignment="1">
      <alignment horizontal="center" vertical="center"/>
    </xf>
    <xf numFmtId="165" fontId="10" fillId="6" borderId="0" xfId="0" applyNumberFormat="1" applyFont="1" applyFill="1" applyAlignment="1">
      <alignment horizontal="center" vertical="center"/>
    </xf>
    <xf numFmtId="165" fontId="10" fillId="6" borderId="3" xfId="0" applyNumberFormat="1" applyFont="1" applyFill="1" applyBorder="1" applyAlignment="1">
      <alignment horizontal="center" vertical="center"/>
    </xf>
    <xf numFmtId="165" fontId="10" fillId="6" borderId="4" xfId="0" applyNumberFormat="1" applyFont="1" applyFill="1" applyBorder="1" applyAlignment="1">
      <alignment horizontal="center" vertical="center"/>
    </xf>
    <xf numFmtId="165" fontId="10" fillId="6" borderId="5" xfId="0" applyNumberFormat="1" applyFont="1" applyFill="1" applyBorder="1" applyAlignment="1">
      <alignment horizontal="center" vertical="center"/>
    </xf>
    <xf numFmtId="165" fontId="10" fillId="6" borderId="6" xfId="0" applyNumberFormat="1" applyFont="1" applyFill="1" applyBorder="1" applyAlignment="1">
      <alignment horizontal="center" vertical="center"/>
    </xf>
    <xf numFmtId="167" fontId="10" fillId="6" borderId="2" xfId="0" applyNumberFormat="1" applyFont="1" applyFill="1" applyBorder="1" applyAlignment="1">
      <alignment horizontal="center" vertical="center"/>
    </xf>
    <xf numFmtId="167" fontId="10" fillId="6" borderId="0" xfId="0" applyNumberFormat="1" applyFont="1" applyFill="1" applyAlignment="1">
      <alignment horizontal="center" vertical="center"/>
    </xf>
    <xf numFmtId="167" fontId="10" fillId="6" borderId="3" xfId="0" applyNumberFormat="1" applyFont="1" applyFill="1" applyBorder="1" applyAlignment="1">
      <alignment horizontal="center" vertical="center"/>
    </xf>
    <xf numFmtId="167" fontId="10" fillId="6" borderId="4" xfId="0" applyNumberFormat="1" applyFont="1" applyFill="1" applyBorder="1" applyAlignment="1">
      <alignment horizontal="center" vertical="center"/>
    </xf>
    <xf numFmtId="167" fontId="10" fillId="6" borderId="5" xfId="0" applyNumberFormat="1" applyFont="1" applyFill="1" applyBorder="1" applyAlignment="1">
      <alignment horizontal="center" vertical="center"/>
    </xf>
    <xf numFmtId="167" fontId="10" fillId="6" borderId="6" xfId="0" applyNumberFormat="1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/>
    </xf>
    <xf numFmtId="168" fontId="10" fillId="6" borderId="2" xfId="0" applyNumberFormat="1" applyFont="1" applyFill="1" applyBorder="1" applyAlignment="1">
      <alignment horizontal="center" vertical="center"/>
    </xf>
    <xf numFmtId="168" fontId="10" fillId="6" borderId="0" xfId="0" applyNumberFormat="1" applyFont="1" applyFill="1" applyAlignment="1">
      <alignment horizontal="center" vertical="center"/>
    </xf>
    <xf numFmtId="168" fontId="10" fillId="6" borderId="3" xfId="0" applyNumberFormat="1" applyFont="1" applyFill="1" applyBorder="1" applyAlignment="1">
      <alignment horizontal="center" vertical="center"/>
    </xf>
    <xf numFmtId="168" fontId="10" fillId="6" borderId="4" xfId="0" applyNumberFormat="1" applyFont="1" applyFill="1" applyBorder="1" applyAlignment="1">
      <alignment horizontal="center" vertical="center"/>
    </xf>
    <xf numFmtId="168" fontId="10" fillId="6" borderId="5" xfId="0" applyNumberFormat="1" applyFont="1" applyFill="1" applyBorder="1" applyAlignment="1">
      <alignment horizontal="center" vertical="center"/>
    </xf>
    <xf numFmtId="168" fontId="10" fillId="6" borderId="6" xfId="0" applyNumberFormat="1" applyFont="1" applyFill="1" applyBorder="1" applyAlignment="1">
      <alignment horizontal="center" vertical="center"/>
    </xf>
    <xf numFmtId="0" fontId="11" fillId="2" borderId="0" xfId="0" applyFont="1" applyFill="1"/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13" fillId="10" borderId="0" xfId="0" applyFont="1" applyFill="1" applyAlignment="1">
      <alignment wrapText="1"/>
    </xf>
    <xf numFmtId="0" fontId="1" fillId="2" borderId="0" xfId="0" applyFont="1" applyFill="1"/>
    <xf numFmtId="0" fontId="3" fillId="4" borderId="1" xfId="0" applyFont="1" applyFill="1" applyBorder="1"/>
    <xf numFmtId="0" fontId="5" fillId="2" borderId="0" xfId="0" applyFont="1" applyFill="1"/>
  </cellXfs>
  <cellStyles count="1">
    <cellStyle name="Normal" xfId="0" builtinId="0"/>
  </cellStyles>
  <dxfs count="4">
    <dxf>
      <fill>
        <patternFill patternType="solid">
          <bgColor rgb="FFFFF2CC"/>
        </patternFill>
      </fill>
    </dxf>
    <dxf>
      <font>
        <b/>
        <color rgb="FFC62828"/>
      </font>
      <fill>
        <patternFill patternType="solid">
          <bgColor rgb="FFF4CCCC"/>
        </patternFill>
      </fill>
    </dxf>
    <dxf>
      <fill>
        <patternFill patternType="solid">
          <bgColor rgb="FFFFF2CC"/>
        </patternFill>
      </fill>
    </dxf>
    <dxf>
      <font>
        <b/>
        <color rgb="FFC62828"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doughnutChart>
        <c:varyColors val="1"/>
        <c:ser>
          <c:idx val="0"/>
          <c:order val="0"/>
          <c:tx>
            <c:v>Current Weight</c:v>
          </c:tx>
          <c:cat>
            <c:strRef>
              <c:f>Dashboard!$A$15:$A$20</c:f>
              <c:strCache>
                <c:ptCount val="6"/>
                <c:pt idx="0">
                  <c:v>Public Equity</c:v>
                </c:pt>
                <c:pt idx="1">
                  <c:v>Fixed Income</c:v>
                </c:pt>
                <c:pt idx="2">
                  <c:v>Private Markets</c:v>
                </c:pt>
                <c:pt idx="3">
                  <c:v>Real Assets</c:v>
                </c:pt>
                <c:pt idx="4">
                  <c:v>Diversifiers</c:v>
                </c:pt>
                <c:pt idx="5">
                  <c:v>Cash</c:v>
                </c:pt>
              </c:strCache>
            </c:strRef>
          </c:cat>
          <c:val>
            <c:numRef>
              <c:f>Dashboard!$B$15:$B$20</c:f>
              <c:numCache>
                <c:formatCode>0.0%;[Red]\(0.0%\);\-</c:formatCode>
                <c:ptCount val="6"/>
                <c:pt idx="0">
                  <c:v>0.42</c:v>
                </c:pt>
                <c:pt idx="1">
                  <c:v>0.27</c:v>
                </c:pt>
                <c:pt idx="2">
                  <c:v>0.12</c:v>
                </c:pt>
                <c:pt idx="3">
                  <c:v>0.11</c:v>
                </c:pt>
                <c:pt idx="4">
                  <c:v>0.05</c:v>
                </c:pt>
                <c:pt idx="5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EC-D54B-8C3C-DB9A32710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0"/>
      </c:doughnutChart>
    </c:plotArea>
    <c:legend>
      <c:legendPos val="r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lineChart>
        <c:grouping val="standard"/>
        <c:varyColors val="1"/>
        <c:ser>
          <c:idx val="0"/>
          <c:order val="0"/>
          <c:tx>
            <c:v>Portfolio Return</c:v>
          </c:tx>
          <c:cat>
            <c:numRef>
              <c:f>'Monthly Returns'!$A$3:$A$62</c:f>
              <c:numCache>
                <c:formatCode>mmm\-yy</c:formatCode>
                <c:ptCount val="60"/>
                <c:pt idx="0">
                  <c:v>44226</c:v>
                </c:pt>
                <c:pt idx="1">
                  <c:v>44255</c:v>
                </c:pt>
                <c:pt idx="2">
                  <c:v>44285</c:v>
                </c:pt>
                <c:pt idx="3">
                  <c:v>44316</c:v>
                </c:pt>
                <c:pt idx="4">
                  <c:v>44346</c:v>
                </c:pt>
                <c:pt idx="5">
                  <c:v>44377</c:v>
                </c:pt>
                <c:pt idx="6">
                  <c:v>44407</c:v>
                </c:pt>
                <c:pt idx="7">
                  <c:v>44438</c:v>
                </c:pt>
                <c:pt idx="8">
                  <c:v>44469</c:v>
                </c:pt>
                <c:pt idx="9">
                  <c:v>44499</c:v>
                </c:pt>
                <c:pt idx="10">
                  <c:v>44530</c:v>
                </c:pt>
                <c:pt idx="11">
                  <c:v>44560</c:v>
                </c:pt>
                <c:pt idx="12">
                  <c:v>44591</c:v>
                </c:pt>
                <c:pt idx="13">
                  <c:v>44620</c:v>
                </c:pt>
                <c:pt idx="14">
                  <c:v>44650</c:v>
                </c:pt>
                <c:pt idx="15">
                  <c:v>44681</c:v>
                </c:pt>
                <c:pt idx="16">
                  <c:v>44711</c:v>
                </c:pt>
                <c:pt idx="17">
                  <c:v>44742</c:v>
                </c:pt>
                <c:pt idx="18">
                  <c:v>44772</c:v>
                </c:pt>
                <c:pt idx="19">
                  <c:v>44803</c:v>
                </c:pt>
                <c:pt idx="20">
                  <c:v>44834</c:v>
                </c:pt>
                <c:pt idx="21">
                  <c:v>44864</c:v>
                </c:pt>
                <c:pt idx="22">
                  <c:v>44895</c:v>
                </c:pt>
                <c:pt idx="23">
                  <c:v>44925</c:v>
                </c:pt>
                <c:pt idx="24">
                  <c:v>44956</c:v>
                </c:pt>
                <c:pt idx="25">
                  <c:v>44985</c:v>
                </c:pt>
                <c:pt idx="26">
                  <c:v>45015</c:v>
                </c:pt>
                <c:pt idx="27">
                  <c:v>45046</c:v>
                </c:pt>
                <c:pt idx="28">
                  <c:v>45076</c:v>
                </c:pt>
                <c:pt idx="29">
                  <c:v>45107</c:v>
                </c:pt>
                <c:pt idx="30">
                  <c:v>45137</c:v>
                </c:pt>
                <c:pt idx="31">
                  <c:v>45168</c:v>
                </c:pt>
                <c:pt idx="32">
                  <c:v>45199</c:v>
                </c:pt>
                <c:pt idx="33">
                  <c:v>45229</c:v>
                </c:pt>
                <c:pt idx="34">
                  <c:v>45260</c:v>
                </c:pt>
                <c:pt idx="35">
                  <c:v>45290</c:v>
                </c:pt>
                <c:pt idx="36">
                  <c:v>45321</c:v>
                </c:pt>
                <c:pt idx="37">
                  <c:v>45350</c:v>
                </c:pt>
                <c:pt idx="38">
                  <c:v>45381</c:v>
                </c:pt>
                <c:pt idx="39">
                  <c:v>45412</c:v>
                </c:pt>
                <c:pt idx="40">
                  <c:v>45442</c:v>
                </c:pt>
                <c:pt idx="41">
                  <c:v>45473</c:v>
                </c:pt>
                <c:pt idx="42">
                  <c:v>45503</c:v>
                </c:pt>
                <c:pt idx="43">
                  <c:v>45534</c:v>
                </c:pt>
                <c:pt idx="44">
                  <c:v>45565</c:v>
                </c:pt>
                <c:pt idx="45">
                  <c:v>45595</c:v>
                </c:pt>
                <c:pt idx="46">
                  <c:v>45626</c:v>
                </c:pt>
                <c:pt idx="47">
                  <c:v>45656</c:v>
                </c:pt>
                <c:pt idx="48">
                  <c:v>45687</c:v>
                </c:pt>
                <c:pt idx="49">
                  <c:v>45716</c:v>
                </c:pt>
                <c:pt idx="50">
                  <c:v>45746</c:v>
                </c:pt>
                <c:pt idx="51">
                  <c:v>45777</c:v>
                </c:pt>
                <c:pt idx="52">
                  <c:v>45807</c:v>
                </c:pt>
                <c:pt idx="53">
                  <c:v>45838</c:v>
                </c:pt>
                <c:pt idx="54">
                  <c:v>45868</c:v>
                </c:pt>
                <c:pt idx="55">
                  <c:v>45899</c:v>
                </c:pt>
                <c:pt idx="56">
                  <c:v>45930</c:v>
                </c:pt>
                <c:pt idx="57">
                  <c:v>45960</c:v>
                </c:pt>
                <c:pt idx="58">
                  <c:v>45991</c:v>
                </c:pt>
                <c:pt idx="59">
                  <c:v>46021</c:v>
                </c:pt>
              </c:numCache>
            </c:numRef>
          </c:cat>
          <c:val>
            <c:numRef>
              <c:f>'Monthly Returns'!$B$3:$B$62</c:f>
              <c:numCache>
                <c:formatCode>0.0%;[Red]\(0.0%\);\-</c:formatCode>
                <c:ptCount val="60"/>
                <c:pt idx="0">
                  <c:v>4.6383709154291415E-3</c:v>
                </c:pt>
                <c:pt idx="1">
                  <c:v>-4.069872317701563E-2</c:v>
                </c:pt>
                <c:pt idx="2">
                  <c:v>2.1159019211692394E-2</c:v>
                </c:pt>
                <c:pt idx="3">
                  <c:v>7.1878442214413654E-2</c:v>
                </c:pt>
                <c:pt idx="4">
                  <c:v>4.8012579605403319E-3</c:v>
                </c:pt>
                <c:pt idx="5">
                  <c:v>2.9259595012492437E-2</c:v>
                </c:pt>
                <c:pt idx="6">
                  <c:v>-2.6838963342548424E-2</c:v>
                </c:pt>
                <c:pt idx="7">
                  <c:v>4.0842289924609698E-2</c:v>
                </c:pt>
                <c:pt idx="8">
                  <c:v>2.5941618864575165E-2</c:v>
                </c:pt>
                <c:pt idx="9">
                  <c:v>-8.242913424085405E-3</c:v>
                </c:pt>
                <c:pt idx="10">
                  <c:v>8.5902328022722588E-3</c:v>
                </c:pt>
                <c:pt idx="11">
                  <c:v>5.1485168868084082E-2</c:v>
                </c:pt>
                <c:pt idx="12">
                  <c:v>1.1898401352684679E-2</c:v>
                </c:pt>
                <c:pt idx="13">
                  <c:v>2.890811842453662E-3</c:v>
                </c:pt>
                <c:pt idx="14">
                  <c:v>-2.9725483719063167E-2</c:v>
                </c:pt>
                <c:pt idx="15">
                  <c:v>5.1324526632721551E-3</c:v>
                </c:pt>
                <c:pt idx="16">
                  <c:v>8.4438422615428152E-3</c:v>
                </c:pt>
                <c:pt idx="17">
                  <c:v>-1.3014366964821248E-2</c:v>
                </c:pt>
                <c:pt idx="18">
                  <c:v>1.2895516367599566E-2</c:v>
                </c:pt>
                <c:pt idx="19">
                  <c:v>-3.1780516400907427E-2</c:v>
                </c:pt>
                <c:pt idx="20">
                  <c:v>1.4844649106741282E-2</c:v>
                </c:pt>
                <c:pt idx="21">
                  <c:v>4.2034997276229918E-2</c:v>
                </c:pt>
                <c:pt idx="22">
                  <c:v>3.9980579076004507E-3</c:v>
                </c:pt>
                <c:pt idx="23">
                  <c:v>-1.006053913280874E-2</c:v>
                </c:pt>
                <c:pt idx="24">
                  <c:v>3.263380429561874E-2</c:v>
                </c:pt>
                <c:pt idx="25">
                  <c:v>-1.3303792948706985E-2</c:v>
                </c:pt>
                <c:pt idx="26">
                  <c:v>1.5631480709186817E-2</c:v>
                </c:pt>
                <c:pt idx="27">
                  <c:v>8.3198531925473488E-5</c:v>
                </c:pt>
                <c:pt idx="28">
                  <c:v>7.6794740570371887E-3</c:v>
                </c:pt>
                <c:pt idx="29">
                  <c:v>-2.5404689252004113E-2</c:v>
                </c:pt>
                <c:pt idx="30">
                  <c:v>5.3474488503868862E-3</c:v>
                </c:pt>
                <c:pt idx="31">
                  <c:v>-7.8310226236109441E-3</c:v>
                </c:pt>
                <c:pt idx="32">
                  <c:v>3.2867683381636059E-3</c:v>
                </c:pt>
                <c:pt idx="33">
                  <c:v>1.0114238957119931E-2</c:v>
                </c:pt>
                <c:pt idx="34">
                  <c:v>-4.0432053556978896E-2</c:v>
                </c:pt>
                <c:pt idx="35">
                  <c:v>3.9851284374486089E-2</c:v>
                </c:pt>
                <c:pt idx="36">
                  <c:v>-5.2229769159753909E-3</c:v>
                </c:pt>
                <c:pt idx="37">
                  <c:v>1.9516632098188776E-2</c:v>
                </c:pt>
                <c:pt idx="38">
                  <c:v>-4.1718526062340021E-2</c:v>
                </c:pt>
                <c:pt idx="39">
                  <c:v>4.4129561030820642E-2</c:v>
                </c:pt>
                <c:pt idx="40">
                  <c:v>2.289383969797493E-2</c:v>
                </c:pt>
                <c:pt idx="41">
                  <c:v>1.0652689801559197E-2</c:v>
                </c:pt>
                <c:pt idx="42">
                  <c:v>1.1679967457712118E-2</c:v>
                </c:pt>
                <c:pt idx="43">
                  <c:v>3.8357203240313116E-2</c:v>
                </c:pt>
                <c:pt idx="44">
                  <c:v>2.5110815155981087E-2</c:v>
                </c:pt>
                <c:pt idx="45">
                  <c:v>2.3307867315378435E-2</c:v>
                </c:pt>
                <c:pt idx="46">
                  <c:v>-1.6947573352294455E-2</c:v>
                </c:pt>
                <c:pt idx="47">
                  <c:v>1.2948433360723778E-2</c:v>
                </c:pt>
                <c:pt idx="48">
                  <c:v>1.7768413367341914E-2</c:v>
                </c:pt>
                <c:pt idx="49">
                  <c:v>1.4291037061563813E-2</c:v>
                </c:pt>
                <c:pt idx="50">
                  <c:v>-3.7776750639848228E-2</c:v>
                </c:pt>
                <c:pt idx="51">
                  <c:v>-2.8610175100394876E-3</c:v>
                </c:pt>
                <c:pt idx="52">
                  <c:v>-4.0739458152184688E-2</c:v>
                </c:pt>
                <c:pt idx="53">
                  <c:v>2.1270330619713108E-2</c:v>
                </c:pt>
                <c:pt idx="54">
                  <c:v>-4.89802880332188E-2</c:v>
                </c:pt>
                <c:pt idx="55">
                  <c:v>2.6365506115552426E-2</c:v>
                </c:pt>
                <c:pt idx="56">
                  <c:v>3.9869813396746327E-2</c:v>
                </c:pt>
                <c:pt idx="57">
                  <c:v>-4.6080008715389975E-2</c:v>
                </c:pt>
                <c:pt idx="58">
                  <c:v>1.2518942642508931E-2</c:v>
                </c:pt>
                <c:pt idx="59">
                  <c:v>2.3584872773227653E-3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EA-FB40-9649-0171D8DB575E}"/>
            </c:ext>
          </c:extLst>
        </c:ser>
        <c:ser>
          <c:idx val="1"/>
          <c:order val="1"/>
          <c:tx>
            <c:v>Policy Benchmark</c:v>
          </c:tx>
          <c:cat>
            <c:numRef>
              <c:f>'Monthly Returns'!$A$3:$A$62</c:f>
              <c:numCache>
                <c:formatCode>mmm\-yy</c:formatCode>
                <c:ptCount val="60"/>
                <c:pt idx="0">
                  <c:v>44226</c:v>
                </c:pt>
                <c:pt idx="1">
                  <c:v>44255</c:v>
                </c:pt>
                <c:pt idx="2">
                  <c:v>44285</c:v>
                </c:pt>
                <c:pt idx="3">
                  <c:v>44316</c:v>
                </c:pt>
                <c:pt idx="4">
                  <c:v>44346</c:v>
                </c:pt>
                <c:pt idx="5">
                  <c:v>44377</c:v>
                </c:pt>
                <c:pt idx="6">
                  <c:v>44407</c:v>
                </c:pt>
                <c:pt idx="7">
                  <c:v>44438</c:v>
                </c:pt>
                <c:pt idx="8">
                  <c:v>44469</c:v>
                </c:pt>
                <c:pt idx="9">
                  <c:v>44499</c:v>
                </c:pt>
                <c:pt idx="10">
                  <c:v>44530</c:v>
                </c:pt>
                <c:pt idx="11">
                  <c:v>44560</c:v>
                </c:pt>
                <c:pt idx="12">
                  <c:v>44591</c:v>
                </c:pt>
                <c:pt idx="13">
                  <c:v>44620</c:v>
                </c:pt>
                <c:pt idx="14">
                  <c:v>44650</c:v>
                </c:pt>
                <c:pt idx="15">
                  <c:v>44681</c:v>
                </c:pt>
                <c:pt idx="16">
                  <c:v>44711</c:v>
                </c:pt>
                <c:pt idx="17">
                  <c:v>44742</c:v>
                </c:pt>
                <c:pt idx="18">
                  <c:v>44772</c:v>
                </c:pt>
                <c:pt idx="19">
                  <c:v>44803</c:v>
                </c:pt>
                <c:pt idx="20">
                  <c:v>44834</c:v>
                </c:pt>
                <c:pt idx="21">
                  <c:v>44864</c:v>
                </c:pt>
                <c:pt idx="22">
                  <c:v>44895</c:v>
                </c:pt>
                <c:pt idx="23">
                  <c:v>44925</c:v>
                </c:pt>
                <c:pt idx="24">
                  <c:v>44956</c:v>
                </c:pt>
                <c:pt idx="25">
                  <c:v>44985</c:v>
                </c:pt>
                <c:pt idx="26">
                  <c:v>45015</c:v>
                </c:pt>
                <c:pt idx="27">
                  <c:v>45046</c:v>
                </c:pt>
                <c:pt idx="28">
                  <c:v>45076</c:v>
                </c:pt>
                <c:pt idx="29">
                  <c:v>45107</c:v>
                </c:pt>
                <c:pt idx="30">
                  <c:v>45137</c:v>
                </c:pt>
                <c:pt idx="31">
                  <c:v>45168</c:v>
                </c:pt>
                <c:pt idx="32">
                  <c:v>45199</c:v>
                </c:pt>
                <c:pt idx="33">
                  <c:v>45229</c:v>
                </c:pt>
                <c:pt idx="34">
                  <c:v>45260</c:v>
                </c:pt>
                <c:pt idx="35">
                  <c:v>45290</c:v>
                </c:pt>
                <c:pt idx="36">
                  <c:v>45321</c:v>
                </c:pt>
                <c:pt idx="37">
                  <c:v>45350</c:v>
                </c:pt>
                <c:pt idx="38">
                  <c:v>45381</c:v>
                </c:pt>
                <c:pt idx="39">
                  <c:v>45412</c:v>
                </c:pt>
                <c:pt idx="40">
                  <c:v>45442</c:v>
                </c:pt>
                <c:pt idx="41">
                  <c:v>45473</c:v>
                </c:pt>
                <c:pt idx="42">
                  <c:v>45503</c:v>
                </c:pt>
                <c:pt idx="43">
                  <c:v>45534</c:v>
                </c:pt>
                <c:pt idx="44">
                  <c:v>45565</c:v>
                </c:pt>
                <c:pt idx="45">
                  <c:v>45595</c:v>
                </c:pt>
                <c:pt idx="46">
                  <c:v>45626</c:v>
                </c:pt>
                <c:pt idx="47">
                  <c:v>45656</c:v>
                </c:pt>
                <c:pt idx="48">
                  <c:v>45687</c:v>
                </c:pt>
                <c:pt idx="49">
                  <c:v>45716</c:v>
                </c:pt>
                <c:pt idx="50">
                  <c:v>45746</c:v>
                </c:pt>
                <c:pt idx="51">
                  <c:v>45777</c:v>
                </c:pt>
                <c:pt idx="52">
                  <c:v>45807</c:v>
                </c:pt>
                <c:pt idx="53">
                  <c:v>45838</c:v>
                </c:pt>
                <c:pt idx="54">
                  <c:v>45868</c:v>
                </c:pt>
                <c:pt idx="55">
                  <c:v>45899</c:v>
                </c:pt>
                <c:pt idx="56">
                  <c:v>45930</c:v>
                </c:pt>
                <c:pt idx="57">
                  <c:v>45960</c:v>
                </c:pt>
                <c:pt idx="58">
                  <c:v>45991</c:v>
                </c:pt>
                <c:pt idx="59">
                  <c:v>46021</c:v>
                </c:pt>
              </c:numCache>
            </c:numRef>
          </c:cat>
          <c:val>
            <c:numRef>
              <c:f>'Monthly Returns'!$C$3:$C$62</c:f>
              <c:numCache>
                <c:formatCode>0.0%;[Red]\(0.0%\);\-</c:formatCode>
                <c:ptCount val="60"/>
                <c:pt idx="0">
                  <c:v>5.4696249242656052E-3</c:v>
                </c:pt>
                <c:pt idx="1">
                  <c:v>-3.8837527701376794E-2</c:v>
                </c:pt>
                <c:pt idx="2">
                  <c:v>1.9852161713114765E-2</c:v>
                </c:pt>
                <c:pt idx="3">
                  <c:v>7.0317244978384791E-2</c:v>
                </c:pt>
                <c:pt idx="4">
                  <c:v>4.8019254071407719E-3</c:v>
                </c:pt>
                <c:pt idx="5">
                  <c:v>2.7031869285896445E-2</c:v>
                </c:pt>
                <c:pt idx="6">
                  <c:v>-2.5269696880445322E-2</c:v>
                </c:pt>
                <c:pt idx="7">
                  <c:v>3.8906152866095424E-2</c:v>
                </c:pt>
                <c:pt idx="8">
                  <c:v>2.5218789696117783E-2</c:v>
                </c:pt>
                <c:pt idx="9">
                  <c:v>-9.0696280669492011E-3</c:v>
                </c:pt>
                <c:pt idx="10">
                  <c:v>8.2095808978276657E-3</c:v>
                </c:pt>
                <c:pt idx="11">
                  <c:v>4.8951258868574501E-2</c:v>
                </c:pt>
                <c:pt idx="12">
                  <c:v>1.1663044003617128E-2</c:v>
                </c:pt>
                <c:pt idx="13">
                  <c:v>1.8173710599247292E-3</c:v>
                </c:pt>
                <c:pt idx="14">
                  <c:v>-2.7928066682348464E-2</c:v>
                </c:pt>
                <c:pt idx="15">
                  <c:v>5.345985195219425E-3</c:v>
                </c:pt>
                <c:pt idx="16">
                  <c:v>7.314755480948636E-3</c:v>
                </c:pt>
                <c:pt idx="17">
                  <c:v>-1.2408537923190362E-2</c:v>
                </c:pt>
                <c:pt idx="18">
                  <c:v>1.1227140939580644E-2</c:v>
                </c:pt>
                <c:pt idx="19">
                  <c:v>-3.1226517498099186E-2</c:v>
                </c:pt>
                <c:pt idx="20">
                  <c:v>1.4451939562762629E-2</c:v>
                </c:pt>
                <c:pt idx="21">
                  <c:v>3.9949452499526146E-2</c:v>
                </c:pt>
                <c:pt idx="22">
                  <c:v>3.273764889822328E-3</c:v>
                </c:pt>
                <c:pt idx="23">
                  <c:v>-8.7532065210082881E-3</c:v>
                </c:pt>
                <c:pt idx="24">
                  <c:v>3.1385651681027235E-2</c:v>
                </c:pt>
                <c:pt idx="25">
                  <c:v>-1.3289433000840787E-2</c:v>
                </c:pt>
                <c:pt idx="26">
                  <c:v>1.4764651476646859E-2</c:v>
                </c:pt>
                <c:pt idx="27">
                  <c:v>-1.0863210044209415E-4</c:v>
                </c:pt>
                <c:pt idx="28">
                  <c:v>5.9645112633875622E-3</c:v>
                </c:pt>
                <c:pt idx="29">
                  <c:v>-2.2491341089094317E-2</c:v>
                </c:pt>
                <c:pt idx="30">
                  <c:v>5.1424123766115959E-3</c:v>
                </c:pt>
                <c:pt idx="31">
                  <c:v>-6.3144680439855506E-3</c:v>
                </c:pt>
                <c:pt idx="32">
                  <c:v>2.5986576726472681E-3</c:v>
                </c:pt>
                <c:pt idx="33">
                  <c:v>1.1062119453512251E-2</c:v>
                </c:pt>
                <c:pt idx="34">
                  <c:v>-3.8850343526322793E-2</c:v>
                </c:pt>
                <c:pt idx="35">
                  <c:v>3.7837714228774931E-2</c:v>
                </c:pt>
                <c:pt idx="36">
                  <c:v>-4.5119341467684008E-3</c:v>
                </c:pt>
                <c:pt idx="37">
                  <c:v>1.8110163357833137E-2</c:v>
                </c:pt>
                <c:pt idx="38">
                  <c:v>-3.8813060448371677E-2</c:v>
                </c:pt>
                <c:pt idx="39">
                  <c:v>4.2371401592921042E-2</c:v>
                </c:pt>
                <c:pt idx="40">
                  <c:v>2.2778950543688316E-2</c:v>
                </c:pt>
                <c:pt idx="41">
                  <c:v>9.5063938519261634E-3</c:v>
                </c:pt>
                <c:pt idx="42">
                  <c:v>1.0310522377006906E-2</c:v>
                </c:pt>
                <c:pt idx="43">
                  <c:v>3.6938127713745696E-2</c:v>
                </c:pt>
                <c:pt idx="44">
                  <c:v>2.4709539043848823E-2</c:v>
                </c:pt>
                <c:pt idx="45">
                  <c:v>2.2522860400417143E-2</c:v>
                </c:pt>
                <c:pt idx="46">
                  <c:v>-1.7023879616415372E-2</c:v>
                </c:pt>
                <c:pt idx="47">
                  <c:v>1.1859368128328137E-2</c:v>
                </c:pt>
                <c:pt idx="48">
                  <c:v>1.5796460071572861E-2</c:v>
                </c:pt>
                <c:pt idx="49">
                  <c:v>1.3822768914310354E-2</c:v>
                </c:pt>
                <c:pt idx="50">
                  <c:v>-3.5999616403980417E-2</c:v>
                </c:pt>
                <c:pt idx="51">
                  <c:v>-2.0942259030144092E-3</c:v>
                </c:pt>
                <c:pt idx="52">
                  <c:v>-4.0138712594412179E-2</c:v>
                </c:pt>
                <c:pt idx="53">
                  <c:v>2.1184913183114152E-2</c:v>
                </c:pt>
                <c:pt idx="54">
                  <c:v>-4.7268606199076524E-2</c:v>
                </c:pt>
                <c:pt idx="55">
                  <c:v>2.5879880455453603E-2</c:v>
                </c:pt>
                <c:pt idx="56">
                  <c:v>3.7850194925954046E-2</c:v>
                </c:pt>
                <c:pt idx="57">
                  <c:v>-4.539758955843471E-2</c:v>
                </c:pt>
                <c:pt idx="58">
                  <c:v>1.2437585351404193E-2</c:v>
                </c:pt>
                <c:pt idx="59">
                  <c:v>2.0338134391896415E-3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EA-FB40-9649-0171D8DB5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date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mmm\-yy" sourceLinked="0"/>
        <c:majorTickMark val="none"/>
        <c:minorTickMark val="none"/>
        <c:tickLblPos val="nextTo"/>
        <c:crossAx val="48672768"/>
        <c:crosses val="autoZero"/>
        <c:auto val="1"/>
        <c:lblOffset val="100"/>
        <c:baseTimeUnit val="months"/>
        <c:majorUnit val="6"/>
      </c:date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%;[Red]\(0.0%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lineChart>
        <c:grouping val="standard"/>
        <c:varyColors val="1"/>
        <c:ser>
          <c:idx val="0"/>
          <c:order val="0"/>
          <c:tx>
            <c:v>Portfolio</c:v>
          </c:tx>
          <c:cat>
            <c:numRef>
              <c:f>'Monthly Returns'!$A$3:$A$62</c:f>
              <c:numCache>
                <c:formatCode>mmm\-yy</c:formatCode>
                <c:ptCount val="60"/>
                <c:pt idx="0">
                  <c:v>44226</c:v>
                </c:pt>
                <c:pt idx="1">
                  <c:v>44255</c:v>
                </c:pt>
                <c:pt idx="2">
                  <c:v>44285</c:v>
                </c:pt>
                <c:pt idx="3">
                  <c:v>44316</c:v>
                </c:pt>
                <c:pt idx="4">
                  <c:v>44346</c:v>
                </c:pt>
                <c:pt idx="5">
                  <c:v>44377</c:v>
                </c:pt>
                <c:pt idx="6">
                  <c:v>44407</c:v>
                </c:pt>
                <c:pt idx="7">
                  <c:v>44438</c:v>
                </c:pt>
                <c:pt idx="8">
                  <c:v>44469</c:v>
                </c:pt>
                <c:pt idx="9">
                  <c:v>44499</c:v>
                </c:pt>
                <c:pt idx="10">
                  <c:v>44530</c:v>
                </c:pt>
                <c:pt idx="11">
                  <c:v>44560</c:v>
                </c:pt>
                <c:pt idx="12">
                  <c:v>44591</c:v>
                </c:pt>
                <c:pt idx="13">
                  <c:v>44620</c:v>
                </c:pt>
                <c:pt idx="14">
                  <c:v>44650</c:v>
                </c:pt>
                <c:pt idx="15">
                  <c:v>44681</c:v>
                </c:pt>
                <c:pt idx="16">
                  <c:v>44711</c:v>
                </c:pt>
                <c:pt idx="17">
                  <c:v>44742</c:v>
                </c:pt>
                <c:pt idx="18">
                  <c:v>44772</c:v>
                </c:pt>
                <c:pt idx="19">
                  <c:v>44803</c:v>
                </c:pt>
                <c:pt idx="20">
                  <c:v>44834</c:v>
                </c:pt>
                <c:pt idx="21">
                  <c:v>44864</c:v>
                </c:pt>
                <c:pt idx="22">
                  <c:v>44895</c:v>
                </c:pt>
                <c:pt idx="23">
                  <c:v>44925</c:v>
                </c:pt>
                <c:pt idx="24">
                  <c:v>44956</c:v>
                </c:pt>
                <c:pt idx="25">
                  <c:v>44985</c:v>
                </c:pt>
                <c:pt idx="26">
                  <c:v>45015</c:v>
                </c:pt>
                <c:pt idx="27">
                  <c:v>45046</c:v>
                </c:pt>
                <c:pt idx="28">
                  <c:v>45076</c:v>
                </c:pt>
                <c:pt idx="29">
                  <c:v>45107</c:v>
                </c:pt>
                <c:pt idx="30">
                  <c:v>45137</c:v>
                </c:pt>
                <c:pt idx="31">
                  <c:v>45168</c:v>
                </c:pt>
                <c:pt idx="32">
                  <c:v>45199</c:v>
                </c:pt>
                <c:pt idx="33">
                  <c:v>45229</c:v>
                </c:pt>
                <c:pt idx="34">
                  <c:v>45260</c:v>
                </c:pt>
                <c:pt idx="35">
                  <c:v>45290</c:v>
                </c:pt>
                <c:pt idx="36">
                  <c:v>45321</c:v>
                </c:pt>
                <c:pt idx="37">
                  <c:v>45350</c:v>
                </c:pt>
                <c:pt idx="38">
                  <c:v>45381</c:v>
                </c:pt>
                <c:pt idx="39">
                  <c:v>45412</c:v>
                </c:pt>
                <c:pt idx="40">
                  <c:v>45442</c:v>
                </c:pt>
                <c:pt idx="41">
                  <c:v>45473</c:v>
                </c:pt>
                <c:pt idx="42">
                  <c:v>45503</c:v>
                </c:pt>
                <c:pt idx="43">
                  <c:v>45534</c:v>
                </c:pt>
                <c:pt idx="44">
                  <c:v>45565</c:v>
                </c:pt>
                <c:pt idx="45">
                  <c:v>45595</c:v>
                </c:pt>
                <c:pt idx="46">
                  <c:v>45626</c:v>
                </c:pt>
                <c:pt idx="47">
                  <c:v>45656</c:v>
                </c:pt>
                <c:pt idx="48">
                  <c:v>45687</c:v>
                </c:pt>
                <c:pt idx="49">
                  <c:v>45716</c:v>
                </c:pt>
                <c:pt idx="50">
                  <c:v>45746</c:v>
                </c:pt>
                <c:pt idx="51">
                  <c:v>45777</c:v>
                </c:pt>
                <c:pt idx="52">
                  <c:v>45807</c:v>
                </c:pt>
                <c:pt idx="53">
                  <c:v>45838</c:v>
                </c:pt>
                <c:pt idx="54">
                  <c:v>45868</c:v>
                </c:pt>
                <c:pt idx="55">
                  <c:v>45899</c:v>
                </c:pt>
                <c:pt idx="56">
                  <c:v>45930</c:v>
                </c:pt>
                <c:pt idx="57">
                  <c:v>45960</c:v>
                </c:pt>
                <c:pt idx="58">
                  <c:v>45991</c:v>
                </c:pt>
                <c:pt idx="59">
                  <c:v>46021</c:v>
                </c:pt>
              </c:numCache>
            </c:numRef>
          </c:cat>
          <c:val>
            <c:numRef>
              <c:f>'Monthly Returns'!$F$3:$F$62</c:f>
              <c:numCache>
                <c:formatCode>0.00\x</c:formatCode>
                <c:ptCount val="60"/>
                <c:pt idx="0">
                  <c:v>1.0046383709154292</c:v>
                </c:pt>
                <c:pt idx="1">
                  <c:v>0.96375087196453424</c:v>
                </c:pt>
                <c:pt idx="2">
                  <c:v>0.98414289517971709</c:v>
                </c:pt>
                <c:pt idx="3">
                  <c:v>1.054881553401618</c:v>
                </c:pt>
                <c:pt idx="4">
                  <c:v>1.0599463118573147</c:v>
                </c:pt>
                <c:pt idx="5">
                  <c:v>1.0909599116772448</c:v>
                </c:pt>
                <c:pt idx="6">
                  <c:v>1.0616796785995495</c:v>
                </c:pt>
                <c:pt idx="7">
                  <c:v>1.1050411078399787</c:v>
                </c:pt>
                <c:pt idx="8">
                  <c:v>1.1337076630892513</c:v>
                </c:pt>
                <c:pt idx="9">
                  <c:v>1.1243626089741843</c:v>
                </c:pt>
                <c:pt idx="10">
                  <c:v>1.1340211455394427</c:v>
                </c:pt>
                <c:pt idx="11">
                  <c:v>1.1924064157175192</c:v>
                </c:pt>
                <c:pt idx="12">
                  <c:v>1.2065941458272422</c:v>
                </c:pt>
                <c:pt idx="13">
                  <c:v>1.210082182473035</c:v>
                </c:pt>
                <c:pt idx="14">
                  <c:v>1.1741119042592043</c:v>
                </c:pt>
                <c:pt idx="15">
                  <c:v>1.180137978029199</c:v>
                </c:pt>
                <c:pt idx="16">
                  <c:v>1.1901028769625335</c:v>
                </c:pt>
                <c:pt idx="17">
                  <c:v>1.1746144413958535</c:v>
                </c:pt>
                <c:pt idx="18">
                  <c:v>1.1897617011504926</c:v>
                </c:pt>
                <c:pt idx="19">
                  <c:v>1.1519504598939079</c:v>
                </c:pt>
                <c:pt idx="20">
                  <c:v>1.1690507602593823</c:v>
                </c:pt>
                <c:pt idx="21">
                  <c:v>1.21819180578266</c:v>
                </c:pt>
                <c:pt idx="22">
                  <c:v>1.2230622071647435</c:v>
                </c:pt>
                <c:pt idx="23">
                  <c:v>1.2107575419677032</c:v>
                </c:pt>
                <c:pt idx="24">
                  <c:v>1.2502691666417216</c:v>
                </c:pt>
                <c:pt idx="25">
                  <c:v>1.2336358445185678</c:v>
                </c:pt>
                <c:pt idx="26">
                  <c:v>1.2529193994243213</c:v>
                </c:pt>
                <c:pt idx="27">
                  <c:v>1.2530236404789743</c:v>
                </c:pt>
                <c:pt idx="28">
                  <c:v>1.2626462030188867</c:v>
                </c:pt>
                <c:pt idx="29">
                  <c:v>1.2305690685959689</c:v>
                </c:pt>
                <c:pt idx="30">
                  <c:v>1.237149473747154</c:v>
                </c:pt>
                <c:pt idx="31">
                  <c:v>1.2274613282294518</c:v>
                </c:pt>
                <c:pt idx="32">
                  <c:v>1.2314957092593966</c:v>
                </c:pt>
                <c:pt idx="33">
                  <c:v>1.2439513511375138</c:v>
                </c:pt>
                <c:pt idx="34">
                  <c:v>1.1936558434860456</c:v>
                </c:pt>
                <c:pt idx="35">
                  <c:v>1.241224561950075</c:v>
                </c:pt>
                <c:pt idx="36">
                  <c:v>1.234741674715468</c:v>
                </c:pt>
                <c:pt idx="37">
                  <c:v>1.2588396737171912</c:v>
                </c:pt>
                <c:pt idx="38">
                  <c:v>1.2063227379809129</c:v>
                </c:pt>
                <c:pt idx="39">
                  <c:v>1.2595572308695082</c:v>
                </c:pt>
                <c:pt idx="40">
                  <c:v>1.28839333220346</c:v>
                </c:pt>
                <c:pt idx="41">
                  <c:v>1.3021181867138205</c:v>
                </c:pt>
                <c:pt idx="42">
                  <c:v>1.3173268847607331</c:v>
                </c:pt>
                <c:pt idx="43">
                  <c:v>1.3678558598134292</c:v>
                </c:pt>
                <c:pt idx="44">
                  <c:v>1.4022038354692299</c:v>
                </c:pt>
                <c:pt idx="45">
                  <c:v>1.4348862164154614</c:v>
                </c:pt>
                <c:pt idx="46">
                  <c:v>1.4105683770105641</c:v>
                </c:pt>
                <c:pt idx="47">
                  <c:v>1.4288330276410297</c:v>
                </c:pt>
                <c:pt idx="48">
                  <c:v>1.4542211235090663</c:v>
                </c:pt>
                <c:pt idx="49">
                  <c:v>1.4750034514808434</c:v>
                </c:pt>
                <c:pt idx="50">
                  <c:v>1.4192826139013361</c:v>
                </c:pt>
                <c:pt idx="51">
                  <c:v>1.4152220214912699</c:v>
                </c:pt>
                <c:pt idx="52">
                  <c:v>1.3575666431706761</c:v>
                </c:pt>
                <c:pt idx="53">
                  <c:v>1.3864425345092104</c:v>
                </c:pt>
                <c:pt idx="54">
                  <c:v>1.3185341798274433</c:v>
                </c:pt>
                <c:pt idx="55">
                  <c:v>1.3532980008092486</c:v>
                </c:pt>
                <c:pt idx="56">
                  <c:v>1.4072537395717031</c:v>
                </c:pt>
                <c:pt idx="57">
                  <c:v>1.3424074749874739</c:v>
                </c:pt>
                <c:pt idx="58">
                  <c:v>1.3592129971697173</c:v>
                </c:pt>
                <c:pt idx="59">
                  <c:v>1.362418683730714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27-204A-B055-DC6FFCA35FEB}"/>
            </c:ext>
          </c:extLst>
        </c:ser>
        <c:ser>
          <c:idx val="1"/>
          <c:order val="1"/>
          <c:tx>
            <c:v>Benchmark</c:v>
          </c:tx>
          <c:cat>
            <c:numRef>
              <c:f>'Monthly Returns'!$A$3:$A$62</c:f>
              <c:numCache>
                <c:formatCode>mmm\-yy</c:formatCode>
                <c:ptCount val="60"/>
                <c:pt idx="0">
                  <c:v>44226</c:v>
                </c:pt>
                <c:pt idx="1">
                  <c:v>44255</c:v>
                </c:pt>
                <c:pt idx="2">
                  <c:v>44285</c:v>
                </c:pt>
                <c:pt idx="3">
                  <c:v>44316</c:v>
                </c:pt>
                <c:pt idx="4">
                  <c:v>44346</c:v>
                </c:pt>
                <c:pt idx="5">
                  <c:v>44377</c:v>
                </c:pt>
                <c:pt idx="6">
                  <c:v>44407</c:v>
                </c:pt>
                <c:pt idx="7">
                  <c:v>44438</c:v>
                </c:pt>
                <c:pt idx="8">
                  <c:v>44469</c:v>
                </c:pt>
                <c:pt idx="9">
                  <c:v>44499</c:v>
                </c:pt>
                <c:pt idx="10">
                  <c:v>44530</c:v>
                </c:pt>
                <c:pt idx="11">
                  <c:v>44560</c:v>
                </c:pt>
                <c:pt idx="12">
                  <c:v>44591</c:v>
                </c:pt>
                <c:pt idx="13">
                  <c:v>44620</c:v>
                </c:pt>
                <c:pt idx="14">
                  <c:v>44650</c:v>
                </c:pt>
                <c:pt idx="15">
                  <c:v>44681</c:v>
                </c:pt>
                <c:pt idx="16">
                  <c:v>44711</c:v>
                </c:pt>
                <c:pt idx="17">
                  <c:v>44742</c:v>
                </c:pt>
                <c:pt idx="18">
                  <c:v>44772</c:v>
                </c:pt>
                <c:pt idx="19">
                  <c:v>44803</c:v>
                </c:pt>
                <c:pt idx="20">
                  <c:v>44834</c:v>
                </c:pt>
                <c:pt idx="21">
                  <c:v>44864</c:v>
                </c:pt>
                <c:pt idx="22">
                  <c:v>44895</c:v>
                </c:pt>
                <c:pt idx="23">
                  <c:v>44925</c:v>
                </c:pt>
                <c:pt idx="24">
                  <c:v>44956</c:v>
                </c:pt>
                <c:pt idx="25">
                  <c:v>44985</c:v>
                </c:pt>
                <c:pt idx="26">
                  <c:v>45015</c:v>
                </c:pt>
                <c:pt idx="27">
                  <c:v>45046</c:v>
                </c:pt>
                <c:pt idx="28">
                  <c:v>45076</c:v>
                </c:pt>
                <c:pt idx="29">
                  <c:v>45107</c:v>
                </c:pt>
                <c:pt idx="30">
                  <c:v>45137</c:v>
                </c:pt>
                <c:pt idx="31">
                  <c:v>45168</c:v>
                </c:pt>
                <c:pt idx="32">
                  <c:v>45199</c:v>
                </c:pt>
                <c:pt idx="33">
                  <c:v>45229</c:v>
                </c:pt>
                <c:pt idx="34">
                  <c:v>45260</c:v>
                </c:pt>
                <c:pt idx="35">
                  <c:v>45290</c:v>
                </c:pt>
                <c:pt idx="36">
                  <c:v>45321</c:v>
                </c:pt>
                <c:pt idx="37">
                  <c:v>45350</c:v>
                </c:pt>
                <c:pt idx="38">
                  <c:v>45381</c:v>
                </c:pt>
                <c:pt idx="39">
                  <c:v>45412</c:v>
                </c:pt>
                <c:pt idx="40">
                  <c:v>45442</c:v>
                </c:pt>
                <c:pt idx="41">
                  <c:v>45473</c:v>
                </c:pt>
                <c:pt idx="42">
                  <c:v>45503</c:v>
                </c:pt>
                <c:pt idx="43">
                  <c:v>45534</c:v>
                </c:pt>
                <c:pt idx="44">
                  <c:v>45565</c:v>
                </c:pt>
                <c:pt idx="45">
                  <c:v>45595</c:v>
                </c:pt>
                <c:pt idx="46">
                  <c:v>45626</c:v>
                </c:pt>
                <c:pt idx="47">
                  <c:v>45656</c:v>
                </c:pt>
                <c:pt idx="48">
                  <c:v>45687</c:v>
                </c:pt>
                <c:pt idx="49">
                  <c:v>45716</c:v>
                </c:pt>
                <c:pt idx="50">
                  <c:v>45746</c:v>
                </c:pt>
                <c:pt idx="51">
                  <c:v>45777</c:v>
                </c:pt>
                <c:pt idx="52">
                  <c:v>45807</c:v>
                </c:pt>
                <c:pt idx="53">
                  <c:v>45838</c:v>
                </c:pt>
                <c:pt idx="54">
                  <c:v>45868</c:v>
                </c:pt>
                <c:pt idx="55">
                  <c:v>45899</c:v>
                </c:pt>
                <c:pt idx="56">
                  <c:v>45930</c:v>
                </c:pt>
                <c:pt idx="57">
                  <c:v>45960</c:v>
                </c:pt>
                <c:pt idx="58">
                  <c:v>45991</c:v>
                </c:pt>
                <c:pt idx="59">
                  <c:v>46021</c:v>
                </c:pt>
              </c:numCache>
            </c:numRef>
          </c:cat>
          <c:val>
            <c:numRef>
              <c:f>'Monthly Returns'!$G$3:$G$62</c:f>
              <c:numCache>
                <c:formatCode>0.00\x</c:formatCode>
                <c:ptCount val="60"/>
                <c:pt idx="0">
                  <c:v>1.0054696249242656</c:v>
                </c:pt>
                <c:pt idx="1">
                  <c:v>0.96641967051337652</c:v>
                </c:pt>
                <c:pt idx="2">
                  <c:v>0.98560519009514302</c:v>
                </c:pt>
                <c:pt idx="3">
                  <c:v>1.0549102316990309</c:v>
                </c:pt>
                <c:pt idx="4">
                  <c:v>1.0599758319428791</c:v>
                </c:pt>
                <c:pt idx="5">
                  <c:v>1.0886289600781685</c:v>
                </c:pt>
                <c:pt idx="6">
                  <c:v>1.0611196362417188</c:v>
                </c:pt>
                <c:pt idx="7">
                  <c:v>1.1024037190185547</c:v>
                </c:pt>
                <c:pt idx="8">
                  <c:v>1.1302050065687017</c:v>
                </c:pt>
                <c:pt idx="9">
                  <c:v>1.1199544675197197</c:v>
                </c:pt>
                <c:pt idx="10">
                  <c:v>1.1291488243227064</c:v>
                </c:pt>
                <c:pt idx="11">
                  <c:v>1.1844220807232737</c:v>
                </c:pt>
                <c:pt idx="12">
                  <c:v>1.198236047569605</c:v>
                </c:pt>
                <c:pt idx="13">
                  <c:v>1.2004136870854165</c:v>
                </c:pt>
                <c:pt idx="14">
                  <c:v>1.1668884535860913</c:v>
                </c:pt>
                <c:pt idx="15">
                  <c:v>1.1731266219834349</c:v>
                </c:pt>
                <c:pt idx="16">
                  <c:v>1.1817077563714351</c:v>
                </c:pt>
                <c:pt idx="17">
                  <c:v>1.1670444908623718</c:v>
                </c:pt>
                <c:pt idx="18">
                  <c:v>1.1801470638440448</c:v>
                </c:pt>
                <c:pt idx="19">
                  <c:v>1.1432951809045884</c:v>
                </c:pt>
                <c:pt idx="20">
                  <c:v>1.1598180137614194</c:v>
                </c:pt>
                <c:pt idx="21">
                  <c:v>1.2061521084102758</c:v>
                </c:pt>
                <c:pt idx="22">
                  <c:v>1.2101007668345745</c:v>
                </c:pt>
                <c:pt idx="23">
                  <c:v>1.1995085049112408</c:v>
                </c:pt>
                <c:pt idx="24">
                  <c:v>1.2371558610348146</c:v>
                </c:pt>
                <c:pt idx="25">
                  <c:v>1.2207147611079949</c:v>
                </c:pt>
                <c:pt idx="26">
                  <c:v>1.2387381891081526</c:v>
                </c:pt>
                <c:pt idx="27">
                  <c:v>1.238603622376772</c:v>
                </c:pt>
                <c:pt idx="28">
                  <c:v>1.2459912876333108</c:v>
                </c:pt>
                <c:pt idx="29">
                  <c:v>1.2179672725891102</c:v>
                </c:pt>
                <c:pt idx="30">
                  <c:v>1.2242305625659802</c:v>
                </c:pt>
                <c:pt idx="31">
                  <c:v>1.2165001978001868</c:v>
                </c:pt>
                <c:pt idx="32">
                  <c:v>1.2196614653729774</c:v>
                </c:pt>
                <c:pt idx="33">
                  <c:v>1.2331535061957792</c:v>
                </c:pt>
                <c:pt idx="34">
                  <c:v>1.1852450688593839</c:v>
                </c:pt>
                <c:pt idx="35">
                  <c:v>1.2300920330659499</c:v>
                </c:pt>
                <c:pt idx="36">
                  <c:v>1.2245419388182919</c:v>
                </c:pt>
                <c:pt idx="37">
                  <c:v>1.2467185933688087</c:v>
                </c:pt>
                <c:pt idx="38">
                  <c:v>1.1983296292422763</c:v>
                </c:pt>
                <c:pt idx="39">
                  <c:v>1.249104535203597</c:v>
                </c:pt>
                <c:pt idx="40">
                  <c:v>1.2775578256348965</c:v>
                </c:pt>
                <c:pt idx="41">
                  <c:v>1.2897027934939922</c:v>
                </c:pt>
                <c:pt idx="42">
                  <c:v>1.3030003030060002</c:v>
                </c:pt>
                <c:pt idx="43">
                  <c:v>1.3511306946094852</c:v>
                </c:pt>
                <c:pt idx="44">
                  <c:v>1.3845165112612807</c:v>
                </c:pt>
                <c:pt idx="45">
                  <c:v>1.415699783366491</c:v>
                </c:pt>
                <c:pt idx="46">
                  <c:v>1.3915990806814746</c:v>
                </c:pt>
                <c:pt idx="47">
                  <c:v>1.4081025664663191</c:v>
                </c:pt>
                <c:pt idx="48">
                  <c:v>1.4303456024341834</c:v>
                </c:pt>
                <c:pt idx="49">
                  <c:v>1.4501169391642312</c:v>
                </c:pt>
                <c:pt idx="50">
                  <c:v>1.3979132856134047</c:v>
                </c:pt>
                <c:pt idx="51">
                  <c:v>1.394985739400505</c:v>
                </c:pt>
                <c:pt idx="52">
                  <c:v>1.3389928077334046</c:v>
                </c:pt>
                <c:pt idx="53">
                  <c:v>1.367359254118051</c:v>
                </c:pt>
                <c:pt idx="54">
                  <c:v>1.3027260880024818</c:v>
                </c:pt>
                <c:pt idx="55">
                  <c:v>1.3364404834261867</c:v>
                </c:pt>
                <c:pt idx="56">
                  <c:v>1.387025016230804</c:v>
                </c:pt>
                <c:pt idx="57">
                  <c:v>1.3240574238366767</c:v>
                </c:pt>
                <c:pt idx="58">
                  <c:v>1.3405255010558057</c:v>
                </c:pt>
                <c:pt idx="59">
                  <c:v>1.3432518798354296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27-204A-B055-DC6FFCA35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date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mmm\-yy" sourceLinked="0"/>
        <c:majorTickMark val="none"/>
        <c:minorTickMark val="none"/>
        <c:tickLblPos val="nextTo"/>
        <c:crossAx val="48672768"/>
        <c:crosses val="autoZero"/>
        <c:auto val="1"/>
        <c:lblOffset val="100"/>
        <c:baseTimeUnit val="months"/>
        <c:majorUnit val="6"/>
      </c:date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0\x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Portfolio Return</c:v>
          </c:tx>
          <c:invertIfNegative val="1"/>
          <c:cat>
            <c:strRef>
              <c:f>'Stress Tests'!$A$4:$A$11</c:f>
              <c:strCache>
                <c:ptCount val="8"/>
                <c:pt idx="0">
                  <c:v>2008-Style Recession</c:v>
                </c:pt>
                <c:pt idx="1">
                  <c:v>2022 Inflation / Rate Shock</c:v>
                </c:pt>
                <c:pt idx="2">
                  <c:v>Growth Slowdown</c:v>
                </c:pt>
                <c:pt idx="3">
                  <c:v>Rates -100 bps</c:v>
                </c:pt>
                <c:pt idx="4">
                  <c:v>Rates +100 bps</c:v>
                </c:pt>
                <c:pt idx="5">
                  <c:v>AI / Productivity Upside</c:v>
                </c:pt>
                <c:pt idx="6">
                  <c:v>Dollar +10%</c:v>
                </c:pt>
                <c:pt idx="7">
                  <c:v>Liquidity Freeze</c:v>
                </c:pt>
              </c:strCache>
            </c:strRef>
          </c:cat>
          <c:val>
            <c:numRef>
              <c:f>'Stress Tests'!$H$4:$H$11</c:f>
              <c:numCache>
                <c:formatCode>0.0%;[Red]\(0.0%\);\-</c:formatCode>
                <c:ptCount val="8"/>
                <c:pt idx="0">
                  <c:v>-0.19299999999999998</c:v>
                </c:pt>
                <c:pt idx="1">
                  <c:v>-0.12910000000000002</c:v>
                </c:pt>
                <c:pt idx="2">
                  <c:v>-6.3500000000000001E-2</c:v>
                </c:pt>
                <c:pt idx="3">
                  <c:v>6.4649999999999999E-2</c:v>
                </c:pt>
                <c:pt idx="4">
                  <c:v>-5.004999999999999E-2</c:v>
                </c:pt>
                <c:pt idx="5">
                  <c:v>0.11129999999999997</c:v>
                </c:pt>
                <c:pt idx="6">
                  <c:v>-1.9499999999999997E-2</c:v>
                </c:pt>
                <c:pt idx="7">
                  <c:v>-9.5799999999999996E-2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28-5E43-98A6-F4420C2EB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%;[Red]\(0.0%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</xdr:row>
      <xdr:rowOff>0</xdr:rowOff>
    </xdr:from>
    <xdr:to>
      <xdr:col>10</xdr:col>
      <xdr:colOff>0</xdr:colOff>
      <xdr:row>22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13</xdr:row>
      <xdr:rowOff>0</xdr:rowOff>
    </xdr:from>
    <xdr:to>
      <xdr:col>14</xdr:col>
      <xdr:colOff>0</xdr:colOff>
      <xdr:row>22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28</xdr:row>
      <xdr:rowOff>0</xdr:rowOff>
    </xdr:from>
    <xdr:to>
      <xdr:col>7</xdr:col>
      <xdr:colOff>0</xdr:colOff>
      <xdr:row>39</xdr:row>
      <xdr:rowOff>0</xdr:rowOff>
    </xdr:to>
    <xdr:graphicFrame macro="">
      <xdr:nvGraphicFramePr>
        <xdr:cNvPr id="4" name="Char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28</xdr:row>
      <xdr:rowOff>0</xdr:rowOff>
    </xdr:from>
    <xdr:to>
      <xdr:col>14</xdr:col>
      <xdr:colOff>0</xdr:colOff>
      <xdr:row>39</xdr:row>
      <xdr:rowOff>0</xdr:rowOff>
    </xdr:to>
    <xdr:graphicFrame macro="">
      <xdr:nvGraphicFramePr>
        <xdr:cNvPr id="5" name="Chart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oldingsTable" displayName="HoldingsTable" ref="A2:M24">
  <tableColumns count="13">
    <tableColumn id="1" xr3:uid="{00000000-0010-0000-0000-000001000000}" name="Holding"/>
    <tableColumn id="2" xr3:uid="{00000000-0010-0000-0000-000002000000}" name="Asset Class"/>
    <tableColumn id="3" xr3:uid="{00000000-0010-0000-0000-000003000000}" name="Sub-Asset Class"/>
    <tableColumn id="4" xr3:uid="{00000000-0010-0000-0000-000004000000}" name="Geography"/>
    <tableColumn id="5" xr3:uid="{00000000-0010-0000-0000-000005000000}" name="Sector / Credit"/>
    <tableColumn id="6" xr3:uid="{00000000-0010-0000-0000-000006000000}" name="Market Value ($)"/>
    <tableColumn id="7" xr3:uid="{00000000-0010-0000-0000-000007000000}" name="Portfolio Weight"/>
    <tableColumn id="8" xr3:uid="{00000000-0010-0000-0000-000008000000}" name="Policy Weight"/>
    <tableColumn id="9" xr3:uid="{00000000-0010-0000-0000-000009000000}" name="Active Weight"/>
    <tableColumn id="10" xr3:uid="{00000000-0010-0000-0000-00000A000000}" name="1-Year Return"/>
    <tableColumn id="11" xr3:uid="{00000000-0010-0000-0000-00000B000000}" name="Expense Ratio"/>
    <tableColumn id="12" xr3:uid="{00000000-0010-0000-0000-00000C000000}" name="Contribution to Return"/>
    <tableColumn id="13" xr3:uid="{00000000-0010-0000-0000-00000D000000}" name="Concentration Flag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turnsTable" displayName="ReturnsTable" ref="A2:J62">
  <tableColumns count="10">
    <tableColumn id="1" xr3:uid="{00000000-0010-0000-0100-000001000000}" name="Month"/>
    <tableColumn id="2" xr3:uid="{00000000-0010-0000-0100-000002000000}" name="Portfolio Return"/>
    <tableColumn id="3" xr3:uid="{00000000-0010-0000-0100-000003000000}" name="Policy Benchmark"/>
    <tableColumn id="4" xr3:uid="{00000000-0010-0000-0100-000004000000}" name="Active Return"/>
    <tableColumn id="5" xr3:uid="{00000000-0010-0000-0100-000005000000}" name="Risk-Free Rate"/>
    <tableColumn id="6" xr3:uid="{00000000-0010-0000-0100-000006000000}" name="Portfolio Growth of $1"/>
    <tableColumn id="7" xr3:uid="{00000000-0010-0000-0100-000007000000}" name="Benchmark Growth of $1"/>
    <tableColumn id="8" xr3:uid="{00000000-0010-0000-0100-000008000000}" name="Portfolio Drawdown"/>
    <tableColumn id="9" xr3:uid="{00000000-0010-0000-0100-000009000000}" name="Benchmark Drawdown"/>
    <tableColumn id="10" xr3:uid="{00000000-0010-0000-0100-00000A000000}" name="Rolling 12M Active Retur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FixedIncomeTable" displayName="FixedIncomeTable" ref="A2:J11">
  <tableColumns count="10">
    <tableColumn id="1" xr3:uid="{00000000-0010-0000-0200-000001000000}" name="Holding"/>
    <tableColumn id="2" xr3:uid="{00000000-0010-0000-0200-000002000000}" name="Market Value ($)"/>
    <tableColumn id="3" xr3:uid="{00000000-0010-0000-0200-000003000000}" name="Weight"/>
    <tableColumn id="4" xr3:uid="{00000000-0010-0000-0200-000004000000}" name="Duration"/>
    <tableColumn id="5" xr3:uid="{00000000-0010-0000-0200-000005000000}" name="Yield to Maturity"/>
    <tableColumn id="6" xr3:uid="{00000000-0010-0000-0200-000006000000}" name="Credit Quality"/>
    <tableColumn id="7" xr3:uid="{00000000-0010-0000-0200-000007000000}" name="Duration Contribution"/>
    <tableColumn id="8" xr3:uid="{00000000-0010-0000-0200-000008000000}" name="Yield Contribution"/>
    <tableColumn id="9" xr3:uid="{00000000-0010-0000-0200-000009000000}" name="Rate Shock +100 bps"/>
    <tableColumn id="10" xr3:uid="{00000000-0010-0000-0200-00000A000000}" name="Rate Shock -100 bp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StressTable" displayName="StressTable" ref="A3:J11">
  <tableColumns count="10">
    <tableColumn id="1" xr3:uid="{00000000-0010-0000-0300-000001000000}" name="Scenario"/>
    <tableColumn id="2" xr3:uid="{00000000-0010-0000-0300-000002000000}" name="Public Equity"/>
    <tableColumn id="3" xr3:uid="{00000000-0010-0000-0300-000003000000}" name="Fixed Income"/>
    <tableColumn id="4" xr3:uid="{00000000-0010-0000-0300-000004000000}" name="Private Markets"/>
    <tableColumn id="5" xr3:uid="{00000000-0010-0000-0300-000005000000}" name="Real Assets"/>
    <tableColumn id="6" xr3:uid="{00000000-0010-0000-0300-000006000000}" name="Diversifiers"/>
    <tableColumn id="7" xr3:uid="{00000000-0010-0000-0300-000007000000}" name="Cash"/>
    <tableColumn id="8" xr3:uid="{00000000-0010-0000-0300-000008000000}" name="Estimated Portfolio Return"/>
    <tableColumn id="9" xr3:uid="{00000000-0010-0000-0300-000009000000}" name="Estimated $ Impact"/>
    <tableColumn id="10" xr3:uid="{00000000-0010-0000-0300-00000A000000}" name="Interpreta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RebalanceTable" displayName="RebalanceTable" ref="A3:I9">
  <tableColumns count="9">
    <tableColumn id="1" xr3:uid="{00000000-0010-0000-0400-000001000000}" name="Asset Class"/>
    <tableColumn id="2" xr3:uid="{00000000-0010-0000-0400-000002000000}" name="Current Weight"/>
    <tableColumn id="3" xr3:uid="{00000000-0010-0000-0400-000003000000}" name="Policy Weight"/>
    <tableColumn id="4" xr3:uid="{00000000-0010-0000-0400-000004000000}" name="Difference"/>
    <tableColumn id="5" xr3:uid="{00000000-0010-0000-0400-000005000000}" name="Dollar Trade"/>
    <tableColumn id="6" xr3:uid="{00000000-0010-0000-0400-000006000000}" name="Recommendation"/>
    <tableColumn id="7" xr3:uid="{00000000-0010-0000-0400-000007000000}" name="Rationale"/>
    <tableColumn id="8" xr3:uid="{00000000-0010-0000-0400-000008000000}" name="Expected Risk Effect"/>
    <tableColumn id="9" xr3:uid="{00000000-0010-0000-0400-000009000000}" name="Priori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workbookViewId="0">
      <selection activeCell="A6" sqref="A6:C7"/>
    </sheetView>
  </sheetViews>
  <sheetFormatPr baseColWidth="10" defaultColWidth="8.83203125" defaultRowHeight="14"/>
  <cols>
    <col min="1" max="1" width="16" customWidth="1"/>
    <col min="2" max="4" width="14" customWidth="1"/>
    <col min="5" max="6" width="12" customWidth="1"/>
    <col min="7" max="14" width="14" customWidth="1"/>
  </cols>
  <sheetData>
    <row r="1" spans="1:14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5" spans="1:14">
      <c r="A5" s="24" t="s">
        <v>2</v>
      </c>
      <c r="B5" s="24"/>
      <c r="C5" s="24"/>
      <c r="D5" s="24" t="s">
        <v>3</v>
      </c>
      <c r="E5" s="24"/>
      <c r="F5" s="24"/>
      <c r="G5" s="24" t="s">
        <v>4</v>
      </c>
      <c r="H5" s="24"/>
      <c r="I5" s="24"/>
      <c r="J5" s="24" t="s">
        <v>5</v>
      </c>
      <c r="K5" s="24"/>
      <c r="L5" s="24"/>
      <c r="M5" s="24" t="s">
        <v>6</v>
      </c>
      <c r="N5" s="24"/>
    </row>
    <row r="6" spans="1:14">
      <c r="A6" s="25">
        <f>Holdings!F25</f>
        <v>170000000</v>
      </c>
      <c r="B6" s="26"/>
      <c r="C6" s="27"/>
      <c r="D6" s="31">
        <f>'Risk Analytics'!B4</f>
        <v>-8.2755864680993385E-3</v>
      </c>
      <c r="E6" s="32"/>
      <c r="F6" s="33"/>
      <c r="G6" s="31">
        <f>'Risk Analytics'!C4</f>
        <v>-7.8910644728142909E-3</v>
      </c>
      <c r="H6" s="32"/>
      <c r="I6" s="33"/>
      <c r="J6" s="37">
        <f>'Risk Analytics'!B6</f>
        <v>-0.43277373294338239</v>
      </c>
      <c r="K6" s="38"/>
      <c r="L6" s="39"/>
      <c r="M6" s="31">
        <f>'Risk Analytics'!B7</f>
        <v>-0.10608061391063961</v>
      </c>
      <c r="N6" s="33"/>
    </row>
    <row r="7" spans="1:14">
      <c r="A7" s="28"/>
      <c r="B7" s="29"/>
      <c r="C7" s="30"/>
      <c r="D7" s="34"/>
      <c r="E7" s="35"/>
      <c r="F7" s="36"/>
      <c r="G7" s="34"/>
      <c r="H7" s="35"/>
      <c r="I7" s="36"/>
      <c r="J7" s="40"/>
      <c r="K7" s="41"/>
      <c r="L7" s="42"/>
      <c r="M7" s="34"/>
      <c r="N7" s="36"/>
    </row>
    <row r="9" spans="1:14">
      <c r="A9" s="43" t="s">
        <v>7</v>
      </c>
      <c r="B9" s="43"/>
      <c r="C9" s="43"/>
      <c r="D9" s="43" t="s">
        <v>8</v>
      </c>
      <c r="E9" s="43"/>
      <c r="F9" s="43"/>
      <c r="G9" s="43" t="s">
        <v>9</v>
      </c>
      <c r="H9" s="43"/>
      <c r="I9" s="43"/>
      <c r="J9" s="43" t="s">
        <v>10</v>
      </c>
      <c r="K9" s="43"/>
      <c r="L9" s="43"/>
      <c r="M9" s="43" t="s">
        <v>11</v>
      </c>
      <c r="N9" s="43"/>
    </row>
    <row r="10" spans="1:14">
      <c r="A10" s="31">
        <f>'Risk Analytics'!B10</f>
        <v>4.5165327338985897E-3</v>
      </c>
      <c r="B10" s="32"/>
      <c r="C10" s="33"/>
      <c r="D10" s="37">
        <f>'Risk Analytics'!B11</f>
        <v>-8.5136545651277748E-2</v>
      </c>
      <c r="E10" s="38"/>
      <c r="F10" s="39"/>
      <c r="G10" s="44">
        <f>'Fixed Income'!D12</f>
        <v>4.0763157894736839</v>
      </c>
      <c r="H10" s="45"/>
      <c r="I10" s="46"/>
      <c r="J10" s="31">
        <f>MIN('Stress Tests'!H4:H11)</f>
        <v>-0.19299999999999998</v>
      </c>
      <c r="K10" s="32"/>
      <c r="L10" s="33"/>
      <c r="M10" s="31">
        <f>MAX(Holdings!G3:G24)</f>
        <v>0.12</v>
      </c>
      <c r="N10" s="33"/>
    </row>
    <row r="11" spans="1:14">
      <c r="A11" s="34"/>
      <c r="B11" s="35"/>
      <c r="C11" s="36"/>
      <c r="D11" s="40"/>
      <c r="E11" s="41"/>
      <c r="F11" s="42"/>
      <c r="G11" s="47"/>
      <c r="H11" s="48"/>
      <c r="I11" s="49"/>
      <c r="J11" s="34"/>
      <c r="K11" s="35"/>
      <c r="L11" s="36"/>
      <c r="M11" s="34"/>
      <c r="N11" s="36"/>
    </row>
    <row r="14" spans="1:14">
      <c r="A14" s="17" t="s">
        <v>12</v>
      </c>
      <c r="B14" s="17" t="s">
        <v>13</v>
      </c>
      <c r="C14" s="17" t="s">
        <v>14</v>
      </c>
      <c r="D14" s="17" t="s">
        <v>15</v>
      </c>
    </row>
    <row r="15" spans="1:14">
      <c r="A15" t="s">
        <v>16</v>
      </c>
      <c r="B15" s="7">
        <v>0.42</v>
      </c>
      <c r="C15" s="7">
        <v>0.4</v>
      </c>
      <c r="D15" s="7">
        <f t="shared" ref="D15:D20" si="0">B15-C15</f>
        <v>1.9999999999999962E-2</v>
      </c>
    </row>
    <row r="16" spans="1:14">
      <c r="A16" t="s">
        <v>17</v>
      </c>
      <c r="B16" s="7">
        <v>0.27</v>
      </c>
      <c r="C16" s="7">
        <v>0.3</v>
      </c>
      <c r="D16" s="7">
        <f t="shared" si="0"/>
        <v>-2.9999999999999971E-2</v>
      </c>
    </row>
    <row r="17" spans="1:14">
      <c r="A17" t="s">
        <v>18</v>
      </c>
      <c r="B17" s="7">
        <v>0.12</v>
      </c>
      <c r="C17" s="7">
        <v>0.12</v>
      </c>
      <c r="D17" s="7">
        <f t="shared" si="0"/>
        <v>0</v>
      </c>
    </row>
    <row r="18" spans="1:14">
      <c r="A18" t="s">
        <v>19</v>
      </c>
      <c r="B18" s="7">
        <v>0.11</v>
      </c>
      <c r="C18" s="7">
        <v>0.1</v>
      </c>
      <c r="D18" s="7">
        <f t="shared" si="0"/>
        <v>9.999999999999995E-3</v>
      </c>
    </row>
    <row r="19" spans="1:14">
      <c r="A19" t="s">
        <v>20</v>
      </c>
      <c r="B19" s="7">
        <v>0.05</v>
      </c>
      <c r="C19" s="7">
        <v>0.05</v>
      </c>
      <c r="D19" s="7">
        <f t="shared" si="0"/>
        <v>0</v>
      </c>
    </row>
    <row r="20" spans="1:14">
      <c r="A20" t="s">
        <v>21</v>
      </c>
      <c r="B20" s="7">
        <v>0.03</v>
      </c>
      <c r="C20" s="7">
        <v>0.03</v>
      </c>
      <c r="D20" s="7">
        <f t="shared" si="0"/>
        <v>0</v>
      </c>
    </row>
    <row r="23" spans="1:14" ht="17">
      <c r="A23" s="50" t="s">
        <v>22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  <row r="24" spans="1:14" ht="56" customHeight="1">
      <c r="A24" s="21" t="s">
        <v>23</v>
      </c>
      <c r="B24" s="51" t="s">
        <v>24</v>
      </c>
      <c r="C24" s="51"/>
      <c r="D24" s="51"/>
      <c r="E24" s="51"/>
      <c r="F24" s="51"/>
      <c r="G24" s="51"/>
      <c r="H24" s="52" t="s">
        <v>25</v>
      </c>
      <c r="I24" s="52"/>
      <c r="J24" s="52"/>
      <c r="K24" s="52"/>
      <c r="L24" s="52"/>
      <c r="M24" s="52"/>
      <c r="N24" s="52"/>
    </row>
    <row r="25" spans="1:14" ht="56" customHeight="1">
      <c r="A25" s="21" t="s">
        <v>26</v>
      </c>
      <c r="B25" s="51" t="s">
        <v>27</v>
      </c>
      <c r="C25" s="51"/>
      <c r="D25" s="51"/>
      <c r="E25" s="51"/>
      <c r="F25" s="51"/>
      <c r="G25" s="51"/>
      <c r="H25" s="52" t="s">
        <v>28</v>
      </c>
      <c r="I25" s="52"/>
      <c r="J25" s="52"/>
      <c r="K25" s="52"/>
      <c r="L25" s="52"/>
      <c r="M25" s="52"/>
      <c r="N25" s="52"/>
    </row>
    <row r="26" spans="1:14" ht="56" customHeight="1">
      <c r="A26" s="21" t="s">
        <v>29</v>
      </c>
      <c r="B26" s="51" t="s">
        <v>30</v>
      </c>
      <c r="C26" s="51"/>
      <c r="D26" s="51"/>
      <c r="E26" s="51"/>
      <c r="F26" s="51"/>
      <c r="G26" s="51"/>
      <c r="H26" s="52" t="s">
        <v>31</v>
      </c>
      <c r="I26" s="52"/>
      <c r="J26" s="52"/>
      <c r="K26" s="52"/>
      <c r="L26" s="52"/>
      <c r="M26" s="52"/>
      <c r="N26" s="52"/>
    </row>
    <row r="27" spans="1:14" ht="56" customHeight="1">
      <c r="A27" s="21" t="s">
        <v>32</v>
      </c>
      <c r="B27" s="51" t="s">
        <v>33</v>
      </c>
      <c r="C27" s="51"/>
      <c r="D27" s="51"/>
      <c r="E27" s="51"/>
      <c r="F27" s="51"/>
      <c r="G27" s="51"/>
      <c r="H27" s="52" t="s">
        <v>34</v>
      </c>
      <c r="I27" s="52"/>
      <c r="J27" s="52"/>
      <c r="K27" s="52"/>
      <c r="L27" s="52"/>
      <c r="M27" s="52"/>
      <c r="N27" s="52"/>
    </row>
    <row r="40" spans="1:14">
      <c r="A40" s="53" t="s">
        <v>35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</row>
    <row r="41" spans="1:14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</row>
  </sheetData>
  <mergeCells count="32">
    <mergeCell ref="B27:G27"/>
    <mergeCell ref="H27:N27"/>
    <mergeCell ref="A40:N41"/>
    <mergeCell ref="B24:G24"/>
    <mergeCell ref="H24:N24"/>
    <mergeCell ref="B25:G25"/>
    <mergeCell ref="H25:N25"/>
    <mergeCell ref="B26:G26"/>
    <mergeCell ref="H26:N26"/>
    <mergeCell ref="J9:L9"/>
    <mergeCell ref="J10:L11"/>
    <mergeCell ref="M9:N9"/>
    <mergeCell ref="M10:N11"/>
    <mergeCell ref="A23:N23"/>
    <mergeCell ref="A9:C9"/>
    <mergeCell ref="A10:C11"/>
    <mergeCell ref="D9:F9"/>
    <mergeCell ref="D10:F11"/>
    <mergeCell ref="G9:I9"/>
    <mergeCell ref="G10:I11"/>
    <mergeCell ref="A1:N2"/>
    <mergeCell ref="A3:N3"/>
    <mergeCell ref="A5:C5"/>
    <mergeCell ref="A6:C7"/>
    <mergeCell ref="D5:F5"/>
    <mergeCell ref="D6:F7"/>
    <mergeCell ref="G5:I5"/>
    <mergeCell ref="G6:I7"/>
    <mergeCell ref="J5:L5"/>
    <mergeCell ref="J6:L7"/>
    <mergeCell ref="M5:N5"/>
    <mergeCell ref="M6:N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workbookViewId="0">
      <selection activeCell="G34" sqref="G34"/>
    </sheetView>
  </sheetViews>
  <sheetFormatPr baseColWidth="10" defaultColWidth="8.83203125" defaultRowHeight="14"/>
  <cols>
    <col min="1" max="1" width="28" customWidth="1"/>
    <col min="2" max="2" width="16" customWidth="1"/>
    <col min="3" max="3" width="20" customWidth="1"/>
    <col min="4" max="5" width="18" customWidth="1"/>
    <col min="6" max="6" width="15" customWidth="1"/>
    <col min="7" max="7" width="14" customWidth="1"/>
    <col min="8" max="9" width="13" customWidth="1"/>
    <col min="10" max="11" width="12" customWidth="1"/>
    <col min="12" max="12" width="15" customWidth="1"/>
    <col min="13" max="13" width="16" customWidth="1"/>
  </cols>
  <sheetData>
    <row r="1" spans="1:13" ht="20">
      <c r="A1" s="54" t="s">
        <v>36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30">
      <c r="A2" s="3" t="s">
        <v>37</v>
      </c>
      <c r="B2" s="3" t="s">
        <v>12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 t="s">
        <v>14</v>
      </c>
      <c r="I2" s="3" t="s">
        <v>15</v>
      </c>
      <c r="J2" s="3" t="s">
        <v>43</v>
      </c>
      <c r="K2" s="3" t="s">
        <v>44</v>
      </c>
      <c r="L2" s="3" t="s">
        <v>45</v>
      </c>
      <c r="M2" s="3" t="s">
        <v>46</v>
      </c>
    </row>
    <row r="3" spans="1:13">
      <c r="A3" s="9" t="s">
        <v>47</v>
      </c>
      <c r="B3" s="9" t="s">
        <v>16</v>
      </c>
      <c r="C3" s="9" t="s">
        <v>48</v>
      </c>
      <c r="D3" s="9" t="s">
        <v>49</v>
      </c>
      <c r="E3" s="9" t="s">
        <v>50</v>
      </c>
      <c r="F3" s="10">
        <v>20400000</v>
      </c>
      <c r="G3" s="7">
        <f t="shared" ref="G3:G24" si="0">F3/$F$25</f>
        <v>0.12</v>
      </c>
      <c r="H3" s="11">
        <v>0.12</v>
      </c>
      <c r="I3" s="11">
        <f t="shared" ref="I3:I24" si="1">G3-H3</f>
        <v>0</v>
      </c>
      <c r="J3" s="11">
        <v>0.18099999999999999</v>
      </c>
      <c r="K3" s="11">
        <v>4.0000000000000002E-4</v>
      </c>
      <c r="L3" s="7">
        <f t="shared" ref="L3:L24" si="2">G3*J3</f>
        <v>2.172E-2</v>
      </c>
      <c r="M3" t="str">
        <f t="shared" ref="M3:M24" si="3">IF(G3&gt;10%,"Review",IF(G3&gt;7.5%,"Monitor","Within Limit"))</f>
        <v>Review</v>
      </c>
    </row>
    <row r="4" spans="1:13">
      <c r="A4" s="9" t="s">
        <v>51</v>
      </c>
      <c r="B4" s="9" t="s">
        <v>16</v>
      </c>
      <c r="C4" s="9" t="s">
        <v>52</v>
      </c>
      <c r="D4" s="9" t="s">
        <v>49</v>
      </c>
      <c r="E4" s="9" t="s">
        <v>53</v>
      </c>
      <c r="F4" s="10">
        <v>13600000</v>
      </c>
      <c r="G4" s="7">
        <f t="shared" si="0"/>
        <v>0.08</v>
      </c>
      <c r="H4" s="11">
        <v>7.0000000000000007E-2</v>
      </c>
      <c r="I4" s="11">
        <f t="shared" si="1"/>
        <v>9.999999999999995E-3</v>
      </c>
      <c r="J4" s="11">
        <v>0.224</v>
      </c>
      <c r="K4" s="11">
        <v>8.0000000000000004E-4</v>
      </c>
      <c r="L4" s="7">
        <f t="shared" si="2"/>
        <v>1.7920000000000002E-2</v>
      </c>
      <c r="M4" t="str">
        <f t="shared" si="3"/>
        <v>Monitor</v>
      </c>
    </row>
    <row r="5" spans="1:13">
      <c r="A5" s="9" t="s">
        <v>54</v>
      </c>
      <c r="B5" s="9" t="s">
        <v>16</v>
      </c>
      <c r="C5" s="9" t="s">
        <v>55</v>
      </c>
      <c r="D5" s="9" t="s">
        <v>49</v>
      </c>
      <c r="E5" s="9" t="s">
        <v>50</v>
      </c>
      <c r="F5" s="10">
        <v>6800000</v>
      </c>
      <c r="G5" s="7">
        <f t="shared" si="0"/>
        <v>0.04</v>
      </c>
      <c r="H5" s="11">
        <v>0.05</v>
      </c>
      <c r="I5" s="11">
        <f t="shared" si="1"/>
        <v>-1.0000000000000002E-2</v>
      </c>
      <c r="J5" s="11">
        <v>9.6000000000000002E-2</v>
      </c>
      <c r="K5" s="11">
        <v>1.1999999999999999E-3</v>
      </c>
      <c r="L5" s="7">
        <f t="shared" si="2"/>
        <v>3.8400000000000001E-3</v>
      </c>
      <c r="M5" t="str">
        <f t="shared" si="3"/>
        <v>Within Limit</v>
      </c>
    </row>
    <row r="6" spans="1:13">
      <c r="A6" s="9" t="s">
        <v>56</v>
      </c>
      <c r="B6" s="9" t="s">
        <v>16</v>
      </c>
      <c r="C6" s="9" t="s">
        <v>57</v>
      </c>
      <c r="D6" s="9" t="s">
        <v>58</v>
      </c>
      <c r="E6" s="9" t="s">
        <v>50</v>
      </c>
      <c r="F6" s="10">
        <v>15300000</v>
      </c>
      <c r="G6" s="7">
        <f t="shared" si="0"/>
        <v>0.09</v>
      </c>
      <c r="H6" s="11">
        <v>0.1</v>
      </c>
      <c r="I6" s="11">
        <f t="shared" si="1"/>
        <v>-1.0000000000000009E-2</v>
      </c>
      <c r="J6" s="11">
        <v>0.14199999999999999</v>
      </c>
      <c r="K6" s="11">
        <v>6.9999999999999999E-4</v>
      </c>
      <c r="L6" s="7">
        <f t="shared" si="2"/>
        <v>1.2779999999999998E-2</v>
      </c>
      <c r="M6" t="str">
        <f t="shared" si="3"/>
        <v>Monitor</v>
      </c>
    </row>
    <row r="7" spans="1:13">
      <c r="A7" s="9" t="s">
        <v>59</v>
      </c>
      <c r="B7" s="9" t="s">
        <v>16</v>
      </c>
      <c r="C7" s="9" t="s">
        <v>60</v>
      </c>
      <c r="D7" s="9" t="s">
        <v>60</v>
      </c>
      <c r="E7" s="9" t="s">
        <v>50</v>
      </c>
      <c r="F7" s="10">
        <v>6800000</v>
      </c>
      <c r="G7" s="7">
        <f t="shared" si="0"/>
        <v>0.04</v>
      </c>
      <c r="H7" s="11">
        <v>0.05</v>
      </c>
      <c r="I7" s="11">
        <f t="shared" si="1"/>
        <v>-1.0000000000000002E-2</v>
      </c>
      <c r="J7" s="11">
        <v>0.11799999999999999</v>
      </c>
      <c r="K7" s="11">
        <v>1E-3</v>
      </c>
      <c r="L7" s="7">
        <f t="shared" si="2"/>
        <v>4.7200000000000002E-3</v>
      </c>
      <c r="M7" t="str">
        <f t="shared" si="3"/>
        <v>Within Limit</v>
      </c>
    </row>
    <row r="8" spans="1:13">
      <c r="A8" s="9" t="s">
        <v>61</v>
      </c>
      <c r="B8" s="9" t="s">
        <v>16</v>
      </c>
      <c r="C8" s="9" t="s">
        <v>62</v>
      </c>
      <c r="D8" s="9" t="s">
        <v>63</v>
      </c>
      <c r="E8" s="9" t="s">
        <v>64</v>
      </c>
      <c r="F8" s="10">
        <v>8500000</v>
      </c>
      <c r="G8" s="7">
        <f t="shared" si="0"/>
        <v>0.05</v>
      </c>
      <c r="H8" s="11">
        <v>0.05</v>
      </c>
      <c r="I8" s="11">
        <f t="shared" si="1"/>
        <v>0</v>
      </c>
      <c r="J8" s="11">
        <v>0.157</v>
      </c>
      <c r="K8" s="11">
        <v>1E-3</v>
      </c>
      <c r="L8" s="7">
        <f t="shared" si="2"/>
        <v>7.8500000000000011E-3</v>
      </c>
      <c r="M8" t="str">
        <f t="shared" si="3"/>
        <v>Within Limit</v>
      </c>
    </row>
    <row r="9" spans="1:13">
      <c r="A9" s="9" t="s">
        <v>65</v>
      </c>
      <c r="B9" s="9" t="s">
        <v>17</v>
      </c>
      <c r="C9" s="9" t="s">
        <v>66</v>
      </c>
      <c r="D9" s="9" t="s">
        <v>49</v>
      </c>
      <c r="E9" s="9" t="s">
        <v>67</v>
      </c>
      <c r="F9" s="10">
        <v>11900000</v>
      </c>
      <c r="G9" s="7">
        <f t="shared" si="0"/>
        <v>7.0000000000000007E-2</v>
      </c>
      <c r="H9" s="11">
        <v>0.08</v>
      </c>
      <c r="I9" s="11">
        <f t="shared" si="1"/>
        <v>-9.999999999999995E-3</v>
      </c>
      <c r="J9" s="11">
        <v>5.3999999999999999E-2</v>
      </c>
      <c r="K9" s="11">
        <v>5.0000000000000001E-4</v>
      </c>
      <c r="L9" s="7">
        <f t="shared" si="2"/>
        <v>3.7800000000000004E-3</v>
      </c>
      <c r="M9" t="str">
        <f t="shared" si="3"/>
        <v>Within Limit</v>
      </c>
    </row>
    <row r="10" spans="1:13">
      <c r="A10" s="9" t="s">
        <v>68</v>
      </c>
      <c r="B10" s="9" t="s">
        <v>17</v>
      </c>
      <c r="C10" s="9" t="s">
        <v>69</v>
      </c>
      <c r="D10" s="9" t="s">
        <v>49</v>
      </c>
      <c r="E10" s="9" t="s">
        <v>70</v>
      </c>
      <c r="F10" s="10">
        <v>13600000</v>
      </c>
      <c r="G10" s="7">
        <f t="shared" si="0"/>
        <v>0.08</v>
      </c>
      <c r="H10" s="11">
        <v>0.1</v>
      </c>
      <c r="I10" s="11">
        <f t="shared" si="1"/>
        <v>-2.0000000000000004E-2</v>
      </c>
      <c r="J10" s="11">
        <v>6.0999999999999999E-2</v>
      </c>
      <c r="K10" s="11">
        <v>5.9999999999999995E-4</v>
      </c>
      <c r="L10" s="7">
        <f t="shared" si="2"/>
        <v>4.8799999999999998E-3</v>
      </c>
      <c r="M10" t="str">
        <f t="shared" si="3"/>
        <v>Monitor</v>
      </c>
    </row>
    <row r="11" spans="1:13">
      <c r="A11" s="9" t="s">
        <v>71</v>
      </c>
      <c r="B11" s="9" t="s">
        <v>17</v>
      </c>
      <c r="C11" s="9" t="s">
        <v>72</v>
      </c>
      <c r="D11" s="9" t="s">
        <v>49</v>
      </c>
      <c r="E11" s="9" t="s">
        <v>73</v>
      </c>
      <c r="F11" s="10">
        <v>6800000</v>
      </c>
      <c r="G11" s="7">
        <f t="shared" si="0"/>
        <v>0.04</v>
      </c>
      <c r="H11" s="11">
        <v>0.04</v>
      </c>
      <c r="I11" s="11">
        <f t="shared" si="1"/>
        <v>0</v>
      </c>
      <c r="J11" s="11">
        <v>6.9000000000000006E-2</v>
      </c>
      <c r="K11" s="11">
        <v>1E-3</v>
      </c>
      <c r="L11" s="7">
        <f t="shared" si="2"/>
        <v>2.7600000000000003E-3</v>
      </c>
      <c r="M11" t="str">
        <f t="shared" si="3"/>
        <v>Within Limit</v>
      </c>
    </row>
    <row r="12" spans="1:13">
      <c r="A12" s="9" t="s">
        <v>74</v>
      </c>
      <c r="B12" s="9" t="s">
        <v>17</v>
      </c>
      <c r="C12" s="9" t="s">
        <v>75</v>
      </c>
      <c r="D12" s="9" t="s">
        <v>49</v>
      </c>
      <c r="E12" s="9" t="s">
        <v>76</v>
      </c>
      <c r="F12" s="10">
        <v>5100000</v>
      </c>
      <c r="G12" s="7">
        <f t="shared" si="0"/>
        <v>0.03</v>
      </c>
      <c r="H12" s="11">
        <v>0.03</v>
      </c>
      <c r="I12" s="11">
        <f t="shared" si="1"/>
        <v>0</v>
      </c>
      <c r="J12" s="11">
        <v>4.7E-2</v>
      </c>
      <c r="K12" s="11">
        <v>8.0000000000000004E-4</v>
      </c>
      <c r="L12" s="7">
        <f t="shared" si="2"/>
        <v>1.41E-3</v>
      </c>
      <c r="M12" t="str">
        <f t="shared" si="3"/>
        <v>Within Limit</v>
      </c>
    </row>
    <row r="13" spans="1:13">
      <c r="A13" s="9" t="s">
        <v>77</v>
      </c>
      <c r="B13" s="9" t="s">
        <v>17</v>
      </c>
      <c r="C13" s="9" t="s">
        <v>78</v>
      </c>
      <c r="D13" s="9" t="s">
        <v>49</v>
      </c>
      <c r="E13" s="9" t="s">
        <v>79</v>
      </c>
      <c r="F13" s="10">
        <v>5100000</v>
      </c>
      <c r="G13" s="7">
        <f t="shared" si="0"/>
        <v>0.03</v>
      </c>
      <c r="H13" s="11">
        <v>0.03</v>
      </c>
      <c r="I13" s="11">
        <f t="shared" si="1"/>
        <v>0</v>
      </c>
      <c r="J13" s="11">
        <v>8.3000000000000004E-2</v>
      </c>
      <c r="K13" s="11">
        <v>1.5E-3</v>
      </c>
      <c r="L13" s="7">
        <f t="shared" si="2"/>
        <v>2.49E-3</v>
      </c>
      <c r="M13" t="str">
        <f t="shared" si="3"/>
        <v>Within Limit</v>
      </c>
    </row>
    <row r="14" spans="1:13">
      <c r="A14" s="9" t="s">
        <v>80</v>
      </c>
      <c r="B14" s="9" t="s">
        <v>17</v>
      </c>
      <c r="C14" s="9" t="s">
        <v>81</v>
      </c>
      <c r="D14" s="9" t="s">
        <v>49</v>
      </c>
      <c r="E14" s="9" t="s">
        <v>67</v>
      </c>
      <c r="F14" s="10">
        <v>3400000</v>
      </c>
      <c r="G14" s="7">
        <f t="shared" si="0"/>
        <v>0.02</v>
      </c>
      <c r="H14" s="11">
        <v>0.02</v>
      </c>
      <c r="I14" s="11">
        <f t="shared" si="1"/>
        <v>0</v>
      </c>
      <c r="J14" s="11">
        <v>5.7000000000000002E-2</v>
      </c>
      <c r="K14" s="11">
        <v>6.9999999999999999E-4</v>
      </c>
      <c r="L14" s="7">
        <f t="shared" si="2"/>
        <v>1.1400000000000002E-3</v>
      </c>
      <c r="M14" t="str">
        <f t="shared" si="3"/>
        <v>Within Limit</v>
      </c>
    </row>
    <row r="15" spans="1:13">
      <c r="A15" s="9" t="s">
        <v>82</v>
      </c>
      <c r="B15" s="9" t="s">
        <v>18</v>
      </c>
      <c r="C15" s="9" t="s">
        <v>83</v>
      </c>
      <c r="D15" s="9" t="s">
        <v>49</v>
      </c>
      <c r="E15" s="9" t="s">
        <v>84</v>
      </c>
      <c r="F15" s="10">
        <v>8500000</v>
      </c>
      <c r="G15" s="7">
        <f t="shared" si="0"/>
        <v>0.05</v>
      </c>
      <c r="H15" s="11">
        <v>3.5000000000000003E-2</v>
      </c>
      <c r="I15" s="11">
        <f t="shared" si="1"/>
        <v>1.4999999999999999E-2</v>
      </c>
      <c r="J15" s="11">
        <v>9.2999999999999999E-2</v>
      </c>
      <c r="K15" s="11">
        <v>0.01</v>
      </c>
      <c r="L15" s="7">
        <f t="shared" si="2"/>
        <v>4.6500000000000005E-3</v>
      </c>
      <c r="M15" t="str">
        <f t="shared" si="3"/>
        <v>Within Limit</v>
      </c>
    </row>
    <row r="16" spans="1:13">
      <c r="A16" s="9" t="s">
        <v>85</v>
      </c>
      <c r="B16" s="9" t="s">
        <v>18</v>
      </c>
      <c r="C16" s="9" t="s">
        <v>83</v>
      </c>
      <c r="D16" s="9" t="s">
        <v>86</v>
      </c>
      <c r="E16" s="9" t="s">
        <v>87</v>
      </c>
      <c r="F16" s="10">
        <v>5100000</v>
      </c>
      <c r="G16" s="7">
        <f t="shared" si="0"/>
        <v>0.03</v>
      </c>
      <c r="H16" s="11">
        <v>2.5000000000000001E-2</v>
      </c>
      <c r="I16" s="11">
        <f t="shared" si="1"/>
        <v>4.9999999999999975E-3</v>
      </c>
      <c r="J16" s="11">
        <v>8.6999999999999994E-2</v>
      </c>
      <c r="K16" s="11">
        <v>1.2E-2</v>
      </c>
      <c r="L16" s="7">
        <f t="shared" si="2"/>
        <v>2.6099999999999999E-3</v>
      </c>
      <c r="M16" t="str">
        <f t="shared" si="3"/>
        <v>Within Limit</v>
      </c>
    </row>
    <row r="17" spans="1:13">
      <c r="A17" s="9" t="s">
        <v>88</v>
      </c>
      <c r="B17" s="9" t="s">
        <v>18</v>
      </c>
      <c r="C17" s="9" t="s">
        <v>89</v>
      </c>
      <c r="D17" s="9" t="s">
        <v>86</v>
      </c>
      <c r="E17" s="9" t="s">
        <v>90</v>
      </c>
      <c r="F17" s="10">
        <v>6800000</v>
      </c>
      <c r="G17" s="7">
        <f t="shared" si="0"/>
        <v>0.04</v>
      </c>
      <c r="H17" s="11">
        <v>2.5000000000000001E-2</v>
      </c>
      <c r="I17" s="11">
        <f t="shared" si="1"/>
        <v>1.4999999999999999E-2</v>
      </c>
      <c r="J17" s="11">
        <v>0.13100000000000001</v>
      </c>
      <c r="K17" s="11">
        <v>1.7500000000000002E-2</v>
      </c>
      <c r="L17" s="7">
        <f t="shared" si="2"/>
        <v>5.2400000000000007E-3</v>
      </c>
      <c r="M17" t="str">
        <f t="shared" si="3"/>
        <v>Within Limit</v>
      </c>
    </row>
    <row r="18" spans="1:13">
      <c r="A18" s="9" t="s">
        <v>91</v>
      </c>
      <c r="B18" s="9" t="s">
        <v>19</v>
      </c>
      <c r="C18" s="9" t="s">
        <v>92</v>
      </c>
      <c r="D18" s="9" t="s">
        <v>63</v>
      </c>
      <c r="E18" s="9" t="s">
        <v>92</v>
      </c>
      <c r="F18" s="10">
        <v>5100000</v>
      </c>
      <c r="G18" s="7">
        <f t="shared" si="0"/>
        <v>0.03</v>
      </c>
      <c r="H18" s="11">
        <v>0.03</v>
      </c>
      <c r="I18" s="11">
        <f t="shared" si="1"/>
        <v>0</v>
      </c>
      <c r="J18" s="11">
        <v>0.10199999999999999</v>
      </c>
      <c r="K18" s="11">
        <v>1.2500000000000001E-2</v>
      </c>
      <c r="L18" s="7">
        <f t="shared" si="2"/>
        <v>3.0599999999999998E-3</v>
      </c>
      <c r="M18" t="str">
        <f t="shared" si="3"/>
        <v>Within Limit</v>
      </c>
    </row>
    <row r="19" spans="1:13">
      <c r="A19" s="9" t="s">
        <v>93</v>
      </c>
      <c r="B19" s="9" t="s">
        <v>19</v>
      </c>
      <c r="C19" s="9" t="s">
        <v>94</v>
      </c>
      <c r="D19" s="9" t="s">
        <v>49</v>
      </c>
      <c r="E19" s="9" t="s">
        <v>90</v>
      </c>
      <c r="F19" s="10">
        <v>6800000</v>
      </c>
      <c r="G19" s="7">
        <f t="shared" si="0"/>
        <v>0.04</v>
      </c>
      <c r="H19" s="11">
        <v>0.04</v>
      </c>
      <c r="I19" s="11">
        <f t="shared" si="1"/>
        <v>0</v>
      </c>
      <c r="J19" s="11">
        <v>6.4000000000000001E-2</v>
      </c>
      <c r="K19" s="11">
        <v>9.4999999999999998E-3</v>
      </c>
      <c r="L19" s="7">
        <f t="shared" si="2"/>
        <v>2.5600000000000002E-3</v>
      </c>
      <c r="M19" t="str">
        <f t="shared" si="3"/>
        <v>Within Limit</v>
      </c>
    </row>
    <row r="20" spans="1:13">
      <c r="A20" s="9" t="s">
        <v>95</v>
      </c>
      <c r="B20" s="9" t="s">
        <v>19</v>
      </c>
      <c r="C20" s="9" t="s">
        <v>96</v>
      </c>
      <c r="D20" s="9" t="s">
        <v>49</v>
      </c>
      <c r="E20" s="9" t="s">
        <v>94</v>
      </c>
      <c r="F20" s="10">
        <v>3400000</v>
      </c>
      <c r="G20" s="7">
        <f t="shared" si="0"/>
        <v>0.02</v>
      </c>
      <c r="H20" s="11">
        <v>0.02</v>
      </c>
      <c r="I20" s="11">
        <f t="shared" si="1"/>
        <v>0</v>
      </c>
      <c r="J20" s="11">
        <v>8.1000000000000003E-2</v>
      </c>
      <c r="K20" s="11">
        <v>1E-3</v>
      </c>
      <c r="L20" s="7">
        <f t="shared" si="2"/>
        <v>1.6200000000000001E-3</v>
      </c>
      <c r="M20" t="str">
        <f t="shared" si="3"/>
        <v>Within Limit</v>
      </c>
    </row>
    <row r="21" spans="1:13">
      <c r="A21" s="9" t="s">
        <v>97</v>
      </c>
      <c r="B21" s="9" t="s">
        <v>19</v>
      </c>
      <c r="C21" s="9" t="s">
        <v>98</v>
      </c>
      <c r="D21" s="9" t="s">
        <v>63</v>
      </c>
      <c r="E21" s="9" t="s">
        <v>99</v>
      </c>
      <c r="F21" s="10">
        <v>3400000</v>
      </c>
      <c r="G21" s="7">
        <f t="shared" si="0"/>
        <v>0.02</v>
      </c>
      <c r="H21" s="11">
        <v>0.02</v>
      </c>
      <c r="I21" s="11">
        <f t="shared" si="1"/>
        <v>0</v>
      </c>
      <c r="J21" s="11">
        <v>0.14599999999999999</v>
      </c>
      <c r="K21" s="11">
        <v>2.5000000000000001E-3</v>
      </c>
      <c r="L21" s="7">
        <f t="shared" si="2"/>
        <v>2.9199999999999999E-3</v>
      </c>
      <c r="M21" t="str">
        <f t="shared" si="3"/>
        <v>Within Limit</v>
      </c>
    </row>
    <row r="22" spans="1:13">
      <c r="A22" s="9" t="s">
        <v>100</v>
      </c>
      <c r="B22" s="9" t="s">
        <v>20</v>
      </c>
      <c r="C22" s="9" t="s">
        <v>101</v>
      </c>
      <c r="D22" s="9" t="s">
        <v>63</v>
      </c>
      <c r="E22" s="9" t="s">
        <v>102</v>
      </c>
      <c r="F22" s="10">
        <v>5100000</v>
      </c>
      <c r="G22" s="7">
        <f t="shared" si="0"/>
        <v>0.03</v>
      </c>
      <c r="H22" s="11">
        <v>0.03</v>
      </c>
      <c r="I22" s="11">
        <f t="shared" si="1"/>
        <v>0</v>
      </c>
      <c r="J22" s="11">
        <v>7.3999999999999996E-2</v>
      </c>
      <c r="K22" s="11">
        <v>1.2E-2</v>
      </c>
      <c r="L22" s="7">
        <f t="shared" si="2"/>
        <v>2.2199999999999998E-3</v>
      </c>
      <c r="M22" t="str">
        <f t="shared" si="3"/>
        <v>Within Limit</v>
      </c>
    </row>
    <row r="23" spans="1:13">
      <c r="A23" s="9" t="s">
        <v>103</v>
      </c>
      <c r="B23" s="9" t="s">
        <v>20</v>
      </c>
      <c r="C23" s="9" t="s">
        <v>104</v>
      </c>
      <c r="D23" s="9" t="s">
        <v>63</v>
      </c>
      <c r="E23" s="9" t="s">
        <v>105</v>
      </c>
      <c r="F23" s="10">
        <v>3400000</v>
      </c>
      <c r="G23" s="7">
        <f t="shared" si="0"/>
        <v>0.02</v>
      </c>
      <c r="H23" s="11">
        <v>0.02</v>
      </c>
      <c r="I23" s="11">
        <f t="shared" si="1"/>
        <v>0</v>
      </c>
      <c r="J23" s="11">
        <v>5.8000000000000003E-2</v>
      </c>
      <c r="K23" s="11">
        <v>0.01</v>
      </c>
      <c r="L23" s="7">
        <f t="shared" si="2"/>
        <v>1.16E-3</v>
      </c>
      <c r="M23" t="str">
        <f t="shared" si="3"/>
        <v>Within Limit</v>
      </c>
    </row>
    <row r="24" spans="1:13">
      <c r="A24" s="9" t="s">
        <v>106</v>
      </c>
      <c r="B24" s="9" t="s">
        <v>21</v>
      </c>
      <c r="C24" s="9" t="s">
        <v>107</v>
      </c>
      <c r="D24" s="9" t="s">
        <v>49</v>
      </c>
      <c r="E24" s="9" t="s">
        <v>108</v>
      </c>
      <c r="F24" s="10">
        <v>5100000</v>
      </c>
      <c r="G24" s="7">
        <f t="shared" si="0"/>
        <v>0.03</v>
      </c>
      <c r="H24" s="11">
        <v>0.03</v>
      </c>
      <c r="I24" s="11">
        <f t="shared" si="1"/>
        <v>0</v>
      </c>
      <c r="J24" s="11">
        <v>4.5999999999999999E-2</v>
      </c>
      <c r="K24" s="11">
        <v>5.0000000000000001E-4</v>
      </c>
      <c r="L24" s="7">
        <f t="shared" si="2"/>
        <v>1.3799999999999999E-3</v>
      </c>
      <c r="M24" t="str">
        <f t="shared" si="3"/>
        <v>Within Limit</v>
      </c>
    </row>
    <row r="25" spans="1:13">
      <c r="A25" s="55" t="s">
        <v>109</v>
      </c>
      <c r="B25" s="55"/>
      <c r="C25" s="55"/>
      <c r="D25" s="55"/>
      <c r="E25" s="55"/>
      <c r="F25" s="6">
        <f>SUM(F3:F24)</f>
        <v>170000000</v>
      </c>
      <c r="G25" s="8">
        <f>SUM(G3:G24)</f>
        <v>1.0000000000000002</v>
      </c>
      <c r="H25" s="8">
        <f>SUM(H3:H24)</f>
        <v>1.0150000000000001</v>
      </c>
      <c r="I25" s="8">
        <f>SUM(I3:I24)</f>
        <v>-1.500000000000002E-2</v>
      </c>
      <c r="J25" s="8"/>
      <c r="K25" s="8"/>
      <c r="L25" s="8">
        <f>SUM(L3:L24)</f>
        <v>0.11271</v>
      </c>
      <c r="M25" s="4"/>
    </row>
  </sheetData>
  <mergeCells count="2">
    <mergeCell ref="A1:M1"/>
    <mergeCell ref="A25:E25"/>
  </mergeCells>
  <conditionalFormatting sqref="M3:M24">
    <cfRule type="expression" dxfId="3" priority="1">
      <formula>M3="Review"</formula>
    </cfRule>
    <cfRule type="expression" dxfId="2" priority="2">
      <formula>M3="Monitor"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2"/>
  <sheetViews>
    <sheetView topLeftCell="A9" workbookViewId="0">
      <selection activeCell="G33" sqref="G33"/>
    </sheetView>
  </sheetViews>
  <sheetFormatPr baseColWidth="10" defaultColWidth="8.83203125" defaultRowHeight="14"/>
  <cols>
    <col min="1" max="1" width="12" customWidth="1"/>
    <col min="2" max="2" width="14" customWidth="1"/>
    <col min="3" max="3" width="16" customWidth="1"/>
    <col min="4" max="4" width="13" customWidth="1"/>
    <col min="5" max="5" width="12" customWidth="1"/>
    <col min="6" max="7" width="17" customWidth="1"/>
    <col min="8" max="9" width="15" customWidth="1"/>
    <col min="10" max="10" width="18" customWidth="1"/>
  </cols>
  <sheetData>
    <row r="1" spans="1:10" ht="19">
      <c r="A1" s="56" t="s">
        <v>110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30">
      <c r="A2" s="2" t="s">
        <v>111</v>
      </c>
      <c r="B2" s="2" t="s">
        <v>112</v>
      </c>
      <c r="C2" s="2" t="s">
        <v>113</v>
      </c>
      <c r="D2" s="2" t="s">
        <v>114</v>
      </c>
      <c r="E2" s="2" t="s">
        <v>115</v>
      </c>
      <c r="F2" s="2" t="s">
        <v>116</v>
      </c>
      <c r="G2" s="2" t="s">
        <v>117</v>
      </c>
      <c r="H2" s="2" t="s">
        <v>118</v>
      </c>
      <c r="I2" s="2" t="s">
        <v>119</v>
      </c>
      <c r="J2" s="2" t="s">
        <v>120</v>
      </c>
    </row>
    <row r="3" spans="1:10">
      <c r="A3" s="13">
        <v>44226</v>
      </c>
      <c r="B3" s="11">
        <v>4.6383709154291415E-3</v>
      </c>
      <c r="C3" s="11">
        <v>5.4696249242656052E-3</v>
      </c>
      <c r="D3" s="7">
        <f t="shared" ref="D3:D34" si="0">B3-C3</f>
        <v>-8.312540088364637E-4</v>
      </c>
      <c r="E3" s="11">
        <v>5.9999999999999995E-4</v>
      </c>
      <c r="F3" s="12">
        <f>1*(1+B3)</f>
        <v>1.0046383709154292</v>
      </c>
      <c r="G3" s="12">
        <f>1*(1+C3)</f>
        <v>1.0054696249242656</v>
      </c>
      <c r="H3" s="7">
        <f>F3/MAX($F$3:F3)-1</f>
        <v>0</v>
      </c>
      <c r="I3" s="7">
        <f>G3/MAX($G$3:G3)-1</f>
        <v>0</v>
      </c>
      <c r="J3" s="7"/>
    </row>
    <row r="4" spans="1:10">
      <c r="A4" s="13">
        <v>44255</v>
      </c>
      <c r="B4" s="11">
        <v>-4.069872317701563E-2</v>
      </c>
      <c r="C4" s="11">
        <v>-3.8837527701376794E-2</v>
      </c>
      <c r="D4" s="7">
        <f t="shared" si="0"/>
        <v>-1.8611954756388369E-3</v>
      </c>
      <c r="E4" s="11">
        <v>5.9999999999999995E-4</v>
      </c>
      <c r="F4" s="12">
        <f t="shared" ref="F4:F35" si="1">F3*(1+B4)</f>
        <v>0.96375087196453424</v>
      </c>
      <c r="G4" s="12">
        <f t="shared" ref="G4:G35" si="2">G3*(1+C4)</f>
        <v>0.96641967051337652</v>
      </c>
      <c r="H4" s="7">
        <f>F4/MAX($F$3:F4)-1</f>
        <v>-4.0698723177015617E-2</v>
      </c>
      <c r="I4" s="7">
        <f>G4/MAX($G$3:G4)-1</f>
        <v>-3.8837527701376828E-2</v>
      </c>
      <c r="J4" s="7"/>
    </row>
    <row r="5" spans="1:10">
      <c r="A5" s="13">
        <v>44285</v>
      </c>
      <c r="B5" s="11">
        <v>2.1159019211692394E-2</v>
      </c>
      <c r="C5" s="11">
        <v>1.9852161713114765E-2</v>
      </c>
      <c r="D5" s="7">
        <f t="shared" si="0"/>
        <v>1.3068574985776286E-3</v>
      </c>
      <c r="E5" s="11">
        <v>5.9999999999999995E-4</v>
      </c>
      <c r="F5" s="12">
        <f t="shared" si="1"/>
        <v>0.98414289517971709</v>
      </c>
      <c r="G5" s="12">
        <f t="shared" si="2"/>
        <v>0.98560519009514302</v>
      </c>
      <c r="H5" s="7">
        <f>F5/MAX($F$3:F5)-1</f>
        <v>-2.040084903091699E-2</v>
      </c>
      <c r="I5" s="7">
        <f>G5/MAX($G$3:G5)-1</f>
        <v>-1.97563748687275E-2</v>
      </c>
      <c r="J5" s="7"/>
    </row>
    <row r="6" spans="1:10">
      <c r="A6" s="13">
        <v>44316</v>
      </c>
      <c r="B6" s="11">
        <v>7.1878442214413654E-2</v>
      </c>
      <c r="C6" s="11">
        <v>7.0317244978384791E-2</v>
      </c>
      <c r="D6" s="7">
        <f t="shared" si="0"/>
        <v>1.5611972360288634E-3</v>
      </c>
      <c r="E6" s="11">
        <v>5.9999999999999995E-4</v>
      </c>
      <c r="F6" s="12">
        <f t="shared" si="1"/>
        <v>1.054881553401618</v>
      </c>
      <c r="G6" s="12">
        <f t="shared" si="2"/>
        <v>1.0549102316990309</v>
      </c>
      <c r="H6" s="7">
        <f>F6/MAX($F$3:F6)-1</f>
        <v>0</v>
      </c>
      <c r="I6" s="7">
        <f>G6/MAX($G$3:G6)-1</f>
        <v>0</v>
      </c>
      <c r="J6" s="7"/>
    </row>
    <row r="7" spans="1:10">
      <c r="A7" s="13">
        <v>44346</v>
      </c>
      <c r="B7" s="11">
        <v>4.8012579605403319E-3</v>
      </c>
      <c r="C7" s="11">
        <v>4.8019254071407719E-3</v>
      </c>
      <c r="D7" s="7">
        <f t="shared" si="0"/>
        <v>-6.6744660043999149E-7</v>
      </c>
      <c r="E7" s="11">
        <v>5.9999999999999995E-4</v>
      </c>
      <c r="F7" s="12">
        <f t="shared" si="1"/>
        <v>1.0599463118573147</v>
      </c>
      <c r="G7" s="12">
        <f t="shared" si="2"/>
        <v>1.0599758319428791</v>
      </c>
      <c r="H7" s="7">
        <f>F7/MAX($F$3:F7)-1</f>
        <v>0</v>
      </c>
      <c r="I7" s="7">
        <f>G7/MAX($G$3:G7)-1</f>
        <v>0</v>
      </c>
      <c r="J7" s="7"/>
    </row>
    <row r="8" spans="1:10">
      <c r="A8" s="13">
        <v>44377</v>
      </c>
      <c r="B8" s="11">
        <v>2.9259595012492437E-2</v>
      </c>
      <c r="C8" s="11">
        <v>2.7031869285896445E-2</v>
      </c>
      <c r="D8" s="7">
        <f t="shared" si="0"/>
        <v>2.2277257265959916E-3</v>
      </c>
      <c r="E8" s="11">
        <v>5.9999999999999995E-4</v>
      </c>
      <c r="F8" s="12">
        <f t="shared" si="1"/>
        <v>1.0909599116772448</v>
      </c>
      <c r="G8" s="12">
        <f t="shared" si="2"/>
        <v>1.0886289600781685</v>
      </c>
      <c r="H8" s="7">
        <f>F8/MAX($F$3:F8)-1</f>
        <v>0</v>
      </c>
      <c r="I8" s="7">
        <f>G8/MAX($G$3:G8)-1</f>
        <v>0</v>
      </c>
      <c r="J8" s="7"/>
    </row>
    <row r="9" spans="1:10">
      <c r="A9" s="13">
        <v>44407</v>
      </c>
      <c r="B9" s="11">
        <v>-2.6838963342548424E-2</v>
      </c>
      <c r="C9" s="11">
        <v>-2.5269696880445322E-2</v>
      </c>
      <c r="D9" s="7">
        <f t="shared" si="0"/>
        <v>-1.569266462103102E-3</v>
      </c>
      <c r="E9" s="11">
        <v>5.9999999999999995E-4</v>
      </c>
      <c r="F9" s="12">
        <f t="shared" si="1"/>
        <v>1.0616796785995495</v>
      </c>
      <c r="G9" s="12">
        <f t="shared" si="2"/>
        <v>1.0611196362417188</v>
      </c>
      <c r="H9" s="7">
        <f>F9/MAX($F$3:F9)-1</f>
        <v>-2.6838963342548317E-2</v>
      </c>
      <c r="I9" s="7">
        <f>G9/MAX($G$3:G9)-1</f>
        <v>-2.5269696880445225E-2</v>
      </c>
      <c r="J9" s="7"/>
    </row>
    <row r="10" spans="1:10">
      <c r="A10" s="13">
        <v>44438</v>
      </c>
      <c r="B10" s="11">
        <v>4.0842289924609698E-2</v>
      </c>
      <c r="C10" s="11">
        <v>3.8906152866095424E-2</v>
      </c>
      <c r="D10" s="7">
        <f t="shared" si="0"/>
        <v>1.9361370585142743E-3</v>
      </c>
      <c r="E10" s="11">
        <v>5.9999999999999995E-4</v>
      </c>
      <c r="F10" s="12">
        <f t="shared" si="1"/>
        <v>1.1050411078399787</v>
      </c>
      <c r="G10" s="12">
        <f t="shared" si="2"/>
        <v>1.1024037190185547</v>
      </c>
      <c r="H10" s="7">
        <f>F10/MAX($F$3:F10)-1</f>
        <v>0</v>
      </c>
      <c r="I10" s="7">
        <f>G10/MAX($G$3:G10)-1</f>
        <v>0</v>
      </c>
      <c r="J10" s="7"/>
    </row>
    <row r="11" spans="1:10">
      <c r="A11" s="13">
        <v>44469</v>
      </c>
      <c r="B11" s="11">
        <v>2.5941618864575165E-2</v>
      </c>
      <c r="C11" s="11">
        <v>2.5218789696117783E-2</v>
      </c>
      <c r="D11" s="7">
        <f t="shared" si="0"/>
        <v>7.2282916845738121E-4</v>
      </c>
      <c r="E11" s="11">
        <v>5.9999999999999995E-4</v>
      </c>
      <c r="F11" s="12">
        <f t="shared" si="1"/>
        <v>1.1337076630892513</v>
      </c>
      <c r="G11" s="12">
        <f t="shared" si="2"/>
        <v>1.1302050065687017</v>
      </c>
      <c r="H11" s="7">
        <f>F11/MAX($F$3:F11)-1</f>
        <v>0</v>
      </c>
      <c r="I11" s="7">
        <f>G11/MAX($G$3:G11)-1</f>
        <v>0</v>
      </c>
      <c r="J11" s="7"/>
    </row>
    <row r="12" spans="1:10">
      <c r="A12" s="13">
        <v>44499</v>
      </c>
      <c r="B12" s="11">
        <v>-8.242913424085405E-3</v>
      </c>
      <c r="C12" s="11">
        <v>-9.0696280669492011E-3</v>
      </c>
      <c r="D12" s="7">
        <f t="shared" si="0"/>
        <v>8.2671464286379615E-4</v>
      </c>
      <c r="E12" s="11">
        <v>5.9999999999999995E-4</v>
      </c>
      <c r="F12" s="12">
        <f t="shared" si="1"/>
        <v>1.1243626089741843</v>
      </c>
      <c r="G12" s="12">
        <f t="shared" si="2"/>
        <v>1.1199544675197197</v>
      </c>
      <c r="H12" s="7">
        <f>F12/MAX($F$3:F12)-1</f>
        <v>-8.2429134240855628E-3</v>
      </c>
      <c r="I12" s="7">
        <f>G12/MAX($G$3:G12)-1</f>
        <v>-9.0696280669492202E-3</v>
      </c>
      <c r="J12" s="7"/>
    </row>
    <row r="13" spans="1:10">
      <c r="A13" s="13">
        <v>44530</v>
      </c>
      <c r="B13" s="11">
        <v>8.5902328022722588E-3</v>
      </c>
      <c r="C13" s="11">
        <v>8.2095808978276657E-3</v>
      </c>
      <c r="D13" s="7">
        <f t="shared" si="0"/>
        <v>3.8065190444459308E-4</v>
      </c>
      <c r="E13" s="11">
        <v>5.9999999999999995E-4</v>
      </c>
      <c r="F13" s="12">
        <f t="shared" si="1"/>
        <v>1.1340211455394427</v>
      </c>
      <c r="G13" s="12">
        <f t="shared" si="2"/>
        <v>1.1291488243227064</v>
      </c>
      <c r="H13" s="7">
        <f>F13/MAX($F$3:F13)-1</f>
        <v>0</v>
      </c>
      <c r="I13" s="7">
        <f>G13/MAX($G$3:G13)-1</f>
        <v>-9.3450501445035972E-4</v>
      </c>
      <c r="J13" s="7"/>
    </row>
    <row r="14" spans="1:10">
      <c r="A14" s="13">
        <v>44560</v>
      </c>
      <c r="B14" s="11">
        <v>5.1485168868084082E-2</v>
      </c>
      <c r="C14" s="11">
        <v>4.8951258868574501E-2</v>
      </c>
      <c r="D14" s="7">
        <f t="shared" si="0"/>
        <v>2.5339099995095801E-3</v>
      </c>
      <c r="E14" s="11">
        <v>5.9999999999999995E-4</v>
      </c>
      <c r="F14" s="12">
        <f t="shared" si="1"/>
        <v>1.1924064157175192</v>
      </c>
      <c r="G14" s="12">
        <f t="shared" si="2"/>
        <v>1.1844220807232737</v>
      </c>
      <c r="H14" s="7">
        <f>F14/MAX($F$3:F14)-1</f>
        <v>0</v>
      </c>
      <c r="I14" s="7">
        <f>G14/MAX($G$3:G14)-1</f>
        <v>0</v>
      </c>
      <c r="J14" s="7">
        <f t="shared" ref="J14:J45" si="3">PRODUCT(1+D3:D14)-1</f>
        <v>2.5339099995096426E-3</v>
      </c>
    </row>
    <row r="15" spans="1:10">
      <c r="A15" s="13">
        <v>44591</v>
      </c>
      <c r="B15" s="11">
        <v>1.1898401352684679E-2</v>
      </c>
      <c r="C15" s="11">
        <v>1.1663044003617128E-2</v>
      </c>
      <c r="D15" s="7">
        <f t="shared" si="0"/>
        <v>2.3535734906755118E-4</v>
      </c>
      <c r="E15" s="11">
        <v>1.2999999999999999E-3</v>
      </c>
      <c r="F15" s="12">
        <f t="shared" si="1"/>
        <v>1.2065941458272422</v>
      </c>
      <c r="G15" s="12">
        <f t="shared" si="2"/>
        <v>1.198236047569605</v>
      </c>
      <c r="H15" s="7">
        <f>F15/MAX($F$3:F15)-1</f>
        <v>0</v>
      </c>
      <c r="I15" s="7">
        <f>G15/MAX($G$3:G15)-1</f>
        <v>0</v>
      </c>
      <c r="J15" s="7">
        <f t="shared" si="3"/>
        <v>2.3535734906765526E-4</v>
      </c>
    </row>
    <row r="16" spans="1:10">
      <c r="A16" s="13">
        <v>44620</v>
      </c>
      <c r="B16" s="11">
        <v>2.890811842453662E-3</v>
      </c>
      <c r="C16" s="11">
        <v>1.8173710599247292E-3</v>
      </c>
      <c r="D16" s="7">
        <f t="shared" si="0"/>
        <v>1.0734407825289329E-3</v>
      </c>
      <c r="E16" s="11">
        <v>1.2999999999999999E-3</v>
      </c>
      <c r="F16" s="12">
        <f t="shared" si="1"/>
        <v>1.210082182473035</v>
      </c>
      <c r="G16" s="12">
        <f t="shared" si="2"/>
        <v>1.2004136870854165</v>
      </c>
      <c r="H16" s="7">
        <f>F16/MAX($F$3:F16)-1</f>
        <v>0</v>
      </c>
      <c r="I16" s="7">
        <f>G16/MAX($G$3:G16)-1</f>
        <v>0</v>
      </c>
      <c r="J16" s="7">
        <f t="shared" si="3"/>
        <v>1.0734407825290226E-3</v>
      </c>
    </row>
    <row r="17" spans="1:10">
      <c r="A17" s="13">
        <v>44650</v>
      </c>
      <c r="B17" s="11">
        <v>-2.9725483719063167E-2</v>
      </c>
      <c r="C17" s="11">
        <v>-2.7928066682348464E-2</v>
      </c>
      <c r="D17" s="7">
        <f t="shared" si="0"/>
        <v>-1.7974170367147033E-3</v>
      </c>
      <c r="E17" s="11">
        <v>1.2999999999999999E-3</v>
      </c>
      <c r="F17" s="12">
        <f t="shared" si="1"/>
        <v>1.1741119042592043</v>
      </c>
      <c r="G17" s="12">
        <f t="shared" si="2"/>
        <v>1.1668884535860913</v>
      </c>
      <c r="H17" s="7">
        <f>F17/MAX($F$3:F17)-1</f>
        <v>-2.972548371906325E-2</v>
      </c>
      <c r="I17" s="7">
        <f>G17/MAX($G$3:G17)-1</f>
        <v>-2.7928066682348374E-2</v>
      </c>
      <c r="J17" s="7">
        <f t="shared" si="3"/>
        <v>-1.7974170367146547E-3</v>
      </c>
    </row>
    <row r="18" spans="1:10">
      <c r="A18" s="13">
        <v>44681</v>
      </c>
      <c r="B18" s="11">
        <v>5.1324526632721551E-3</v>
      </c>
      <c r="C18" s="11">
        <v>5.345985195219425E-3</v>
      </c>
      <c r="D18" s="7">
        <f t="shared" si="0"/>
        <v>-2.1353253194726987E-4</v>
      </c>
      <c r="E18" s="11">
        <v>1.2999999999999999E-3</v>
      </c>
      <c r="F18" s="12">
        <f t="shared" si="1"/>
        <v>1.180137978029199</v>
      </c>
      <c r="G18" s="12">
        <f t="shared" si="2"/>
        <v>1.1731266219834349</v>
      </c>
      <c r="H18" s="7">
        <f>F18/MAX($F$3:F18)-1</f>
        <v>-2.4745595693872025E-2</v>
      </c>
      <c r="I18" s="7">
        <f>G18/MAX($G$3:G18)-1</f>
        <v>-2.2731384518144049E-2</v>
      </c>
      <c r="J18" s="7">
        <f t="shared" si="3"/>
        <v>-2.1353253194722477E-4</v>
      </c>
    </row>
    <row r="19" spans="1:10">
      <c r="A19" s="13">
        <v>44711</v>
      </c>
      <c r="B19" s="11">
        <v>8.4438422615428152E-3</v>
      </c>
      <c r="C19" s="11">
        <v>7.314755480948636E-3</v>
      </c>
      <c r="D19" s="7">
        <f t="shared" si="0"/>
        <v>1.1290867805941792E-3</v>
      </c>
      <c r="E19" s="11">
        <v>1.2999999999999999E-3</v>
      </c>
      <c r="F19" s="12">
        <f t="shared" si="1"/>
        <v>1.1901028769625335</v>
      </c>
      <c r="G19" s="12">
        <f t="shared" si="2"/>
        <v>1.1817077563714351</v>
      </c>
      <c r="H19" s="7">
        <f>F19/MAX($F$3:F19)-1</f>
        <v>-1.6510701339036316E-2</v>
      </c>
      <c r="I19" s="7">
        <f>G19/MAX($G$3:G19)-1</f>
        <v>-1.5582903556688898E-2</v>
      </c>
      <c r="J19" s="7">
        <f t="shared" si="3"/>
        <v>1.1290867805942018E-3</v>
      </c>
    </row>
    <row r="20" spans="1:10">
      <c r="A20" s="13">
        <v>44742</v>
      </c>
      <c r="B20" s="11">
        <v>-1.3014366964821248E-2</v>
      </c>
      <c r="C20" s="11">
        <v>-1.2408537923190362E-2</v>
      </c>
      <c r="D20" s="7">
        <f t="shared" si="0"/>
        <v>-6.0582904163088667E-4</v>
      </c>
      <c r="E20" s="11">
        <v>1.2999999999999999E-3</v>
      </c>
      <c r="F20" s="12">
        <f t="shared" si="1"/>
        <v>1.1746144413958535</v>
      </c>
      <c r="G20" s="12">
        <f t="shared" si="2"/>
        <v>1.1670444908623718</v>
      </c>
      <c r="H20" s="7">
        <f>F20/MAX($F$3:F20)-1</f>
        <v>-2.9310191977784839E-2</v>
      </c>
      <c r="I20" s="7">
        <f>G20/MAX($G$3:G20)-1</f>
        <v>-2.7798080430142758E-2</v>
      </c>
      <c r="J20" s="7">
        <f t="shared" si="3"/>
        <v>-6.0582904163086759E-4</v>
      </c>
    </row>
    <row r="21" spans="1:10">
      <c r="A21" s="13">
        <v>44772</v>
      </c>
      <c r="B21" s="11">
        <v>1.2895516367599566E-2</v>
      </c>
      <c r="C21" s="11">
        <v>1.1227140939580644E-2</v>
      </c>
      <c r="D21" s="7">
        <f t="shared" si="0"/>
        <v>1.6683754280189221E-3</v>
      </c>
      <c r="E21" s="11">
        <v>1.2999999999999999E-3</v>
      </c>
      <c r="F21" s="12">
        <f t="shared" si="1"/>
        <v>1.1897617011504926</v>
      </c>
      <c r="G21" s="12">
        <f t="shared" si="2"/>
        <v>1.1801470638440448</v>
      </c>
      <c r="H21" s="7">
        <f>F21/MAX($F$3:F21)-1</f>
        <v>-1.6792645670572259E-2</v>
      </c>
      <c r="I21" s="7">
        <f>G21/MAX($G$3:G21)-1</f>
        <v>-1.6883032457401193E-2</v>
      </c>
      <c r="J21" s="7">
        <f t="shared" si="3"/>
        <v>1.6683754280188978E-3</v>
      </c>
    </row>
    <row r="22" spans="1:10">
      <c r="A22" s="13">
        <v>44803</v>
      </c>
      <c r="B22" s="11">
        <v>-3.1780516400907427E-2</v>
      </c>
      <c r="C22" s="11">
        <v>-3.1226517498099186E-2</v>
      </c>
      <c r="D22" s="7">
        <f t="shared" si="0"/>
        <v>-5.5399890280824135E-4</v>
      </c>
      <c r="E22" s="11">
        <v>1.2999999999999999E-3</v>
      </c>
      <c r="F22" s="12">
        <f t="shared" si="1"/>
        <v>1.1519504598939079</v>
      </c>
      <c r="G22" s="12">
        <f t="shared" si="2"/>
        <v>1.1432951809045884</v>
      </c>
      <c r="H22" s="7">
        <f>F22/MAX($F$3:F22)-1</f>
        <v>-4.803948312033135E-2</v>
      </c>
      <c r="I22" s="7">
        <f>G22/MAX($G$3:G22)-1</f>
        <v>-4.7582351647048382E-2</v>
      </c>
      <c r="J22" s="7">
        <f t="shared" si="3"/>
        <v>-5.5399890280827258E-4</v>
      </c>
    </row>
    <row r="23" spans="1:10">
      <c r="A23" s="13">
        <v>44834</v>
      </c>
      <c r="B23" s="11">
        <v>1.4844649106741282E-2</v>
      </c>
      <c r="C23" s="11">
        <v>1.4451939562762629E-2</v>
      </c>
      <c r="D23" s="7">
        <f t="shared" si="0"/>
        <v>3.9270954397865356E-4</v>
      </c>
      <c r="E23" s="11">
        <v>1.2999999999999999E-3</v>
      </c>
      <c r="F23" s="12">
        <f t="shared" si="1"/>
        <v>1.1690507602593823</v>
      </c>
      <c r="G23" s="12">
        <f t="shared" si="2"/>
        <v>1.1598180137614194</v>
      </c>
      <c r="H23" s="7">
        <f>F23/MAX($F$3:F23)-1</f>
        <v>-3.390796328378054E-2</v>
      </c>
      <c r="I23" s="7">
        <f>G23/MAX($G$3:G23)-1</f>
        <v>-3.3818069354542901E-2</v>
      </c>
      <c r="J23" s="7">
        <f t="shared" si="3"/>
        <v>3.92709543978631E-4</v>
      </c>
    </row>
    <row r="24" spans="1:10">
      <c r="A24" s="13">
        <v>44864</v>
      </c>
      <c r="B24" s="11">
        <v>4.2034997276229918E-2</v>
      </c>
      <c r="C24" s="11">
        <v>3.9949452499526146E-2</v>
      </c>
      <c r="D24" s="7">
        <f t="shared" si="0"/>
        <v>2.0855447767037724E-3</v>
      </c>
      <c r="E24" s="11">
        <v>1.2999999999999999E-3</v>
      </c>
      <c r="F24" s="12">
        <f t="shared" si="1"/>
        <v>1.21819180578266</v>
      </c>
      <c r="G24" s="12">
        <f t="shared" si="2"/>
        <v>1.2061521084102758</v>
      </c>
      <c r="H24" s="7">
        <f>F24/MAX($F$3:F24)-1</f>
        <v>0</v>
      </c>
      <c r="I24" s="7">
        <f>G24/MAX($G$3:G24)-1</f>
        <v>0</v>
      </c>
      <c r="J24" s="7">
        <f t="shared" si="3"/>
        <v>2.0855447767038626E-3</v>
      </c>
    </row>
    <row r="25" spans="1:10">
      <c r="A25" s="13">
        <v>44895</v>
      </c>
      <c r="B25" s="11">
        <v>3.9980579076004507E-3</v>
      </c>
      <c r="C25" s="11">
        <v>3.273764889822328E-3</v>
      </c>
      <c r="D25" s="7">
        <f t="shared" si="0"/>
        <v>7.2429301777812271E-4</v>
      </c>
      <c r="E25" s="11">
        <v>1.2999999999999999E-3</v>
      </c>
      <c r="F25" s="12">
        <f t="shared" si="1"/>
        <v>1.2230622071647435</v>
      </c>
      <c r="G25" s="12">
        <f t="shared" si="2"/>
        <v>1.2101007668345745</v>
      </c>
      <c r="H25" s="7">
        <f>F25/MAX($F$3:F25)-1</f>
        <v>0</v>
      </c>
      <c r="I25" s="7">
        <f>G25/MAX($G$3:G25)-1</f>
        <v>0</v>
      </c>
      <c r="J25" s="7">
        <f t="shared" si="3"/>
        <v>7.2429301777821031E-4</v>
      </c>
    </row>
    <row r="26" spans="1:10">
      <c r="A26" s="13">
        <v>44925</v>
      </c>
      <c r="B26" s="11">
        <v>-1.006053913280874E-2</v>
      </c>
      <c r="C26" s="11">
        <v>-8.7532065210082881E-3</v>
      </c>
      <c r="D26" s="7">
        <f t="shared" si="0"/>
        <v>-1.3073326118004519E-3</v>
      </c>
      <c r="E26" s="11">
        <v>1.2999999999999999E-3</v>
      </c>
      <c r="F26" s="12">
        <f t="shared" si="1"/>
        <v>1.2107575419677032</v>
      </c>
      <c r="G26" s="12">
        <f t="shared" si="2"/>
        <v>1.1995085049112408</v>
      </c>
      <c r="H26" s="7">
        <f>F26/MAX($F$3:F26)-1</f>
        <v>-1.0060539132808688E-2</v>
      </c>
      <c r="I26" s="7">
        <f>G26/MAX($G$3:G26)-1</f>
        <v>-8.7532065210084165E-3</v>
      </c>
      <c r="J26" s="7">
        <f t="shared" si="3"/>
        <v>-1.3073326118004935E-3</v>
      </c>
    </row>
    <row r="27" spans="1:10">
      <c r="A27" s="13">
        <v>44956</v>
      </c>
      <c r="B27" s="11">
        <v>3.263380429561874E-2</v>
      </c>
      <c r="C27" s="11">
        <v>3.1385651681027235E-2</v>
      </c>
      <c r="D27" s="7">
        <f t="shared" si="0"/>
        <v>1.2481526145915051E-3</v>
      </c>
      <c r="E27" s="11">
        <v>3.2000000000000002E-3</v>
      </c>
      <c r="F27" s="12">
        <f t="shared" si="1"/>
        <v>1.2502691666417216</v>
      </c>
      <c r="G27" s="12">
        <f t="shared" si="2"/>
        <v>1.2371558610348146</v>
      </c>
      <c r="H27" s="7">
        <f>F27/MAX($F$3:F27)-1</f>
        <v>0</v>
      </c>
      <c r="I27" s="7">
        <f>G27/MAX($G$3:G27)-1</f>
        <v>0</v>
      </c>
      <c r="J27" s="7">
        <f t="shared" si="3"/>
        <v>1.2481526145915467E-3</v>
      </c>
    </row>
    <row r="28" spans="1:10">
      <c r="A28" s="13">
        <v>44985</v>
      </c>
      <c r="B28" s="11">
        <v>-1.3303792948706985E-2</v>
      </c>
      <c r="C28" s="11">
        <v>-1.3289433000840787E-2</v>
      </c>
      <c r="D28" s="7">
        <f t="shared" si="0"/>
        <v>-1.4359947866197237E-5</v>
      </c>
      <c r="E28" s="11">
        <v>3.2000000000000002E-3</v>
      </c>
      <c r="F28" s="12">
        <f t="shared" si="1"/>
        <v>1.2336358445185678</v>
      </c>
      <c r="G28" s="12">
        <f t="shared" si="2"/>
        <v>1.2207147611079949</v>
      </c>
      <c r="H28" s="7">
        <f>F28/MAX($F$3:F28)-1</f>
        <v>-1.3303792948706983E-2</v>
      </c>
      <c r="I28" s="7">
        <f>G28/MAX($G$3:G28)-1</f>
        <v>-1.3289433000840734E-2</v>
      </c>
      <c r="J28" s="7">
        <f t="shared" si="3"/>
        <v>-1.4359947866249279E-5</v>
      </c>
    </row>
    <row r="29" spans="1:10">
      <c r="A29" s="13">
        <v>45015</v>
      </c>
      <c r="B29" s="11">
        <v>1.5631480709186817E-2</v>
      </c>
      <c r="C29" s="11">
        <v>1.4764651476646859E-2</v>
      </c>
      <c r="D29" s="7">
        <f t="shared" si="0"/>
        <v>8.6682923253995729E-4</v>
      </c>
      <c r="E29" s="11">
        <v>3.2000000000000002E-3</v>
      </c>
      <c r="F29" s="12">
        <f t="shared" si="1"/>
        <v>1.2529193994243213</v>
      </c>
      <c r="G29" s="12">
        <f t="shared" si="2"/>
        <v>1.2387381891081526</v>
      </c>
      <c r="H29" s="7">
        <f>F29/MAX($F$3:F29)-1</f>
        <v>0</v>
      </c>
      <c r="I29" s="7">
        <f>G29/MAX($G$3:G29)-1</f>
        <v>0</v>
      </c>
      <c r="J29" s="7">
        <f t="shared" si="3"/>
        <v>8.6682923254000066E-4</v>
      </c>
    </row>
    <row r="30" spans="1:10">
      <c r="A30" s="13">
        <v>45046</v>
      </c>
      <c r="B30" s="11">
        <v>8.3198531925473488E-5</v>
      </c>
      <c r="C30" s="11">
        <v>-1.0863210044209415E-4</v>
      </c>
      <c r="D30" s="7">
        <f t="shared" si="0"/>
        <v>1.9183063236756764E-4</v>
      </c>
      <c r="E30" s="11">
        <v>3.2000000000000002E-3</v>
      </c>
      <c r="F30" s="12">
        <f t="shared" si="1"/>
        <v>1.2530236404789743</v>
      </c>
      <c r="G30" s="12">
        <f t="shared" si="2"/>
        <v>1.238603622376772</v>
      </c>
      <c r="H30" s="7">
        <f>F30/MAX($F$3:F30)-1</f>
        <v>0</v>
      </c>
      <c r="I30" s="7">
        <f>G30/MAX($G$3:G30)-1</f>
        <v>-1.0863210044198546E-4</v>
      </c>
      <c r="J30" s="7">
        <f t="shared" si="3"/>
        <v>1.9183063236760667E-4</v>
      </c>
    </row>
    <row r="31" spans="1:10">
      <c r="A31" s="13">
        <v>45076</v>
      </c>
      <c r="B31" s="11">
        <v>7.6794740570371887E-3</v>
      </c>
      <c r="C31" s="11">
        <v>5.9645112633875622E-3</v>
      </c>
      <c r="D31" s="7">
        <f t="shared" si="0"/>
        <v>1.7149627936496265E-3</v>
      </c>
      <c r="E31" s="11">
        <v>3.2000000000000002E-3</v>
      </c>
      <c r="F31" s="12">
        <f t="shared" si="1"/>
        <v>1.2626462030188867</v>
      </c>
      <c r="G31" s="12">
        <f t="shared" si="2"/>
        <v>1.2459912876333108</v>
      </c>
      <c r="H31" s="7">
        <f>F31/MAX($F$3:F31)-1</f>
        <v>0</v>
      </c>
      <c r="I31" s="7">
        <f>G31/MAX($G$3:G31)-1</f>
        <v>0</v>
      </c>
      <c r="J31" s="7">
        <f t="shared" si="3"/>
        <v>1.7149627936496881E-3</v>
      </c>
    </row>
    <row r="32" spans="1:10">
      <c r="A32" s="13">
        <v>45107</v>
      </c>
      <c r="B32" s="11">
        <v>-2.5404689252004113E-2</v>
      </c>
      <c r="C32" s="11">
        <v>-2.2491341089094317E-2</v>
      </c>
      <c r="D32" s="7">
        <f t="shared" si="0"/>
        <v>-2.9133481629097964E-3</v>
      </c>
      <c r="E32" s="11">
        <v>3.2000000000000002E-3</v>
      </c>
      <c r="F32" s="12">
        <f t="shared" si="1"/>
        <v>1.2305690685959689</v>
      </c>
      <c r="G32" s="12">
        <f t="shared" si="2"/>
        <v>1.2179672725891102</v>
      </c>
      <c r="H32" s="7">
        <f>F32/MAX($F$3:F32)-1</f>
        <v>-2.5404689252004231E-2</v>
      </c>
      <c r="I32" s="7">
        <f>G32/MAX($G$3:G32)-1</f>
        <v>-2.2491341089094341E-2</v>
      </c>
      <c r="J32" s="7">
        <f t="shared" si="3"/>
        <v>-2.913348162909779E-3</v>
      </c>
    </row>
    <row r="33" spans="1:10">
      <c r="A33" s="13">
        <v>45137</v>
      </c>
      <c r="B33" s="11">
        <v>5.3474488503868862E-3</v>
      </c>
      <c r="C33" s="11">
        <v>5.1424123766115959E-3</v>
      </c>
      <c r="D33" s="7">
        <f t="shared" si="0"/>
        <v>2.0503647377529029E-4</v>
      </c>
      <c r="E33" s="11">
        <v>3.2000000000000002E-3</v>
      </c>
      <c r="F33" s="12">
        <f t="shared" si="1"/>
        <v>1.237149473747154</v>
      </c>
      <c r="G33" s="12">
        <f t="shared" si="2"/>
        <v>1.2242305625659802</v>
      </c>
      <c r="H33" s="7">
        <f>F33/MAX($F$3:F33)-1</f>
        <v>-2.0193090677952497E-2</v>
      </c>
      <c r="I33" s="7">
        <f>G33/MAX($G$3:G33)-1</f>
        <v>-1.7464588463265929E-2</v>
      </c>
      <c r="J33" s="7">
        <f t="shared" si="3"/>
        <v>2.0503647377534406E-4</v>
      </c>
    </row>
    <row r="34" spans="1:10">
      <c r="A34" s="13">
        <v>45168</v>
      </c>
      <c r="B34" s="11">
        <v>-7.8310226236109441E-3</v>
      </c>
      <c r="C34" s="11">
        <v>-6.3144680439855506E-3</v>
      </c>
      <c r="D34" s="7">
        <f t="shared" si="0"/>
        <v>-1.5165545796253935E-3</v>
      </c>
      <c r="E34" s="11">
        <v>3.2000000000000002E-3</v>
      </c>
      <c r="F34" s="12">
        <f t="shared" si="1"/>
        <v>1.2274613282294518</v>
      </c>
      <c r="G34" s="12">
        <f t="shared" si="2"/>
        <v>1.2165001978001868</v>
      </c>
      <c r="H34" s="7">
        <f>F34/MAX($F$3:F34)-1</f>
        <v>-2.7865980751623609E-2</v>
      </c>
      <c r="I34" s="7">
        <f>G34/MAX($G$3:G34)-1</f>
        <v>-2.3668776921498935E-2</v>
      </c>
      <c r="J34" s="7">
        <f t="shared" si="3"/>
        <v>-1.5165545796254065E-3</v>
      </c>
    </row>
    <row r="35" spans="1:10">
      <c r="A35" s="13">
        <v>45199</v>
      </c>
      <c r="B35" s="11">
        <v>3.2867683381636059E-3</v>
      </c>
      <c r="C35" s="11">
        <v>2.5986576726472681E-3</v>
      </c>
      <c r="D35" s="7">
        <f t="shared" ref="D35:D66" si="4">B35-C35</f>
        <v>6.8811066551633781E-4</v>
      </c>
      <c r="E35" s="11">
        <v>3.2000000000000002E-3</v>
      </c>
      <c r="F35" s="12">
        <f t="shared" si="1"/>
        <v>1.2314957092593966</v>
      </c>
      <c r="G35" s="12">
        <f t="shared" si="2"/>
        <v>1.2196614653729774</v>
      </c>
      <c r="H35" s="7">
        <f>F35/MAX($F$3:F35)-1</f>
        <v>-2.4670801436706413E-2</v>
      </c>
      <c r="I35" s="7">
        <f>G35/MAX($G$3:G35)-1</f>
        <v>-2.1131626297600681E-2</v>
      </c>
      <c r="J35" s="7">
        <f t="shared" si="3"/>
        <v>6.8811066551632827E-4</v>
      </c>
    </row>
    <row r="36" spans="1:10">
      <c r="A36" s="13">
        <v>45229</v>
      </c>
      <c r="B36" s="11">
        <v>1.0114238957119931E-2</v>
      </c>
      <c r="C36" s="11">
        <v>1.1062119453512251E-2</v>
      </c>
      <c r="D36" s="7">
        <f t="shared" si="4"/>
        <v>-9.4788049639231951E-4</v>
      </c>
      <c r="E36" s="11">
        <v>3.2000000000000002E-3</v>
      </c>
      <c r="F36" s="12">
        <f t="shared" ref="F36:F62" si="5">F35*(1+B36)</f>
        <v>1.2439513511375138</v>
      </c>
      <c r="G36" s="12">
        <f t="shared" ref="G36:G62" si="6">G35*(1+C36)</f>
        <v>1.2331535061957792</v>
      </c>
      <c r="H36" s="7">
        <f>F36/MAX($F$3:F36)-1</f>
        <v>-1.4806088860581101E-2</v>
      </c>
      <c r="I36" s="7">
        <f>G36/MAX($G$3:G36)-1</f>
        <v>-1.0303267418439344E-2</v>
      </c>
      <c r="J36" s="7">
        <f t="shared" si="3"/>
        <v>-9.4788049639227268E-4</v>
      </c>
    </row>
    <row r="37" spans="1:10">
      <c r="A37" s="13">
        <v>45260</v>
      </c>
      <c r="B37" s="11">
        <v>-4.0432053556978896E-2</v>
      </c>
      <c r="C37" s="11">
        <v>-3.8850343526322793E-2</v>
      </c>
      <c r="D37" s="7">
        <f t="shared" si="4"/>
        <v>-1.5817100306561027E-3</v>
      </c>
      <c r="E37" s="11">
        <v>3.2000000000000002E-3</v>
      </c>
      <c r="F37" s="12">
        <f t="shared" si="5"/>
        <v>1.1936558434860456</v>
      </c>
      <c r="G37" s="12">
        <f t="shared" si="6"/>
        <v>1.1852450688593839</v>
      </c>
      <c r="H37" s="7">
        <f>F37/MAX($F$3:F37)-1</f>
        <v>-5.4639501839779614E-2</v>
      </c>
      <c r="I37" s="7">
        <f>G37/MAX($G$3:G37)-1</f>
        <v>-4.8753325466112107E-2</v>
      </c>
      <c r="J37" s="7">
        <f t="shared" si="3"/>
        <v>-1.5817100306561027E-3</v>
      </c>
    </row>
    <row r="38" spans="1:10">
      <c r="A38" s="13">
        <v>45290</v>
      </c>
      <c r="B38" s="11">
        <v>3.9851284374486089E-2</v>
      </c>
      <c r="C38" s="11">
        <v>3.7837714228774931E-2</v>
      </c>
      <c r="D38" s="7">
        <f t="shared" si="4"/>
        <v>2.0135701457111577E-3</v>
      </c>
      <c r="E38" s="11">
        <v>3.2000000000000002E-3</v>
      </c>
      <c r="F38" s="12">
        <f t="shared" si="5"/>
        <v>1.241224561950075</v>
      </c>
      <c r="G38" s="12">
        <f t="shared" si="6"/>
        <v>1.2300920330659499</v>
      </c>
      <c r="H38" s="7">
        <f>F38/MAX($F$3:F38)-1</f>
        <v>-1.6965671791190795E-2</v>
      </c>
      <c r="I38" s="7">
        <f>G38/MAX($G$3:G38)-1</f>
        <v>-1.2760325634026404E-2</v>
      </c>
      <c r="J38" s="7">
        <f t="shared" si="3"/>
        <v>2.0135701457111299E-3</v>
      </c>
    </row>
    <row r="39" spans="1:10">
      <c r="A39" s="13">
        <v>45321</v>
      </c>
      <c r="B39" s="11">
        <v>-5.2229769159753909E-3</v>
      </c>
      <c r="C39" s="11">
        <v>-4.5119341467684008E-3</v>
      </c>
      <c r="D39" s="7">
        <f t="shared" si="4"/>
        <v>-7.1104276920699004E-4</v>
      </c>
      <c r="E39" s="11">
        <v>4.1999999999999997E-3</v>
      </c>
      <c r="F39" s="12">
        <f t="shared" si="5"/>
        <v>1.234741674715468</v>
      </c>
      <c r="G39" s="12">
        <f t="shared" si="6"/>
        <v>1.2245419388182919</v>
      </c>
      <c r="H39" s="7">
        <f>F39/MAX($F$3:F39)-1</f>
        <v>-2.2100037395036853E-2</v>
      </c>
      <c r="I39" s="7">
        <f>G39/MAX($G$3:G39)-1</f>
        <v>-1.721468603184273E-2</v>
      </c>
      <c r="J39" s="7">
        <f t="shared" si="3"/>
        <v>-7.1104276920697096E-4</v>
      </c>
    </row>
    <row r="40" spans="1:10">
      <c r="A40" s="13">
        <v>45350</v>
      </c>
      <c r="B40" s="11">
        <v>1.9516632098188776E-2</v>
      </c>
      <c r="C40" s="11">
        <v>1.8110163357833137E-2</v>
      </c>
      <c r="D40" s="7">
        <f t="shared" si="4"/>
        <v>1.4064687403556389E-3</v>
      </c>
      <c r="E40" s="11">
        <v>4.1999999999999997E-3</v>
      </c>
      <c r="F40" s="12">
        <f t="shared" si="5"/>
        <v>1.2588396737171912</v>
      </c>
      <c r="G40" s="12">
        <f t="shared" si="6"/>
        <v>1.2467185933688087</v>
      </c>
      <c r="H40" s="7">
        <f>F40/MAX($F$3:F40)-1</f>
        <v>-3.0147235960433783E-3</v>
      </c>
      <c r="I40" s="7">
        <f>G40/MAX($G$3:G40)-1</f>
        <v>0</v>
      </c>
      <c r="J40" s="7">
        <f t="shared" si="3"/>
        <v>1.4064687403556597E-3</v>
      </c>
    </row>
    <row r="41" spans="1:10">
      <c r="A41" s="13">
        <v>45381</v>
      </c>
      <c r="B41" s="11">
        <v>-4.1718526062340021E-2</v>
      </c>
      <c r="C41" s="11">
        <v>-3.8813060448371677E-2</v>
      </c>
      <c r="D41" s="7">
        <f t="shared" si="4"/>
        <v>-2.9054656139683444E-3</v>
      </c>
      <c r="E41" s="11">
        <v>4.1999999999999997E-3</v>
      </c>
      <c r="F41" s="12">
        <f t="shared" si="5"/>
        <v>1.2063227379809129</v>
      </c>
      <c r="G41" s="12">
        <f t="shared" si="6"/>
        <v>1.1983296292422763</v>
      </c>
      <c r="H41" s="7">
        <f>F41/MAX($F$3:F41)-1</f>
        <v>-4.460747983347102E-2</v>
      </c>
      <c r="I41" s="7">
        <f>G41/MAX($G$3:G41)-1</f>
        <v>-3.8813060448371628E-2</v>
      </c>
      <c r="J41" s="7">
        <f t="shared" si="3"/>
        <v>-2.9054656139683166E-3</v>
      </c>
    </row>
    <row r="42" spans="1:10">
      <c r="A42" s="13">
        <v>45412</v>
      </c>
      <c r="B42" s="11">
        <v>4.4129561030820642E-2</v>
      </c>
      <c r="C42" s="11">
        <v>4.2371401592921042E-2</v>
      </c>
      <c r="D42" s="7">
        <f t="shared" si="4"/>
        <v>1.7581594378996007E-3</v>
      </c>
      <c r="E42" s="11">
        <v>4.1999999999999997E-3</v>
      </c>
      <c r="F42" s="12">
        <f t="shared" si="5"/>
        <v>1.2595572308695082</v>
      </c>
      <c r="G42" s="12">
        <f t="shared" si="6"/>
        <v>1.249104535203597</v>
      </c>
      <c r="H42" s="7">
        <f>F42/MAX($F$3:F42)-1</f>
        <v>-2.4464273063927733E-3</v>
      </c>
      <c r="I42" s="7">
        <f>G42/MAX($G$3:G42)-1</f>
        <v>0</v>
      </c>
      <c r="J42" s="7">
        <f t="shared" si="3"/>
        <v>1.7581594378996979E-3</v>
      </c>
    </row>
    <row r="43" spans="1:10">
      <c r="A43" s="13">
        <v>45442</v>
      </c>
      <c r="B43" s="11">
        <v>2.289383969797493E-2</v>
      </c>
      <c r="C43" s="11">
        <v>2.2778950543688316E-2</v>
      </c>
      <c r="D43" s="7">
        <f t="shared" si="4"/>
        <v>1.148891542866147E-4</v>
      </c>
      <c r="E43" s="11">
        <v>4.1999999999999997E-3</v>
      </c>
      <c r="F43" s="12">
        <f t="shared" si="5"/>
        <v>1.28839333220346</v>
      </c>
      <c r="G43" s="12">
        <f t="shared" si="6"/>
        <v>1.2775578256348965</v>
      </c>
      <c r="H43" s="7">
        <f>F43/MAX($F$3:F43)-1</f>
        <v>0</v>
      </c>
      <c r="I43" s="7">
        <f>G43/MAX($G$3:G43)-1</f>
        <v>0</v>
      </c>
      <c r="J43" s="7">
        <f t="shared" si="3"/>
        <v>1.1488915428659041E-4</v>
      </c>
    </row>
    <row r="44" spans="1:10">
      <c r="A44" s="13">
        <v>45473</v>
      </c>
      <c r="B44" s="11">
        <v>1.0652689801559197E-2</v>
      </c>
      <c r="C44" s="11">
        <v>9.5063938519261634E-3</v>
      </c>
      <c r="D44" s="7">
        <f t="shared" si="4"/>
        <v>1.146295949633034E-3</v>
      </c>
      <c r="E44" s="11">
        <v>4.1999999999999997E-3</v>
      </c>
      <c r="F44" s="12">
        <f t="shared" si="5"/>
        <v>1.3021181867138205</v>
      </c>
      <c r="G44" s="12">
        <f t="shared" si="6"/>
        <v>1.2897027934939922</v>
      </c>
      <c r="H44" s="7">
        <f>F44/MAX($F$3:F44)-1</f>
        <v>0</v>
      </c>
      <c r="I44" s="7">
        <f>G44/MAX($G$3:G44)-1</f>
        <v>0</v>
      </c>
      <c r="J44" s="7">
        <f t="shared" si="3"/>
        <v>1.1462959496331138E-3</v>
      </c>
    </row>
    <row r="45" spans="1:10">
      <c r="A45" s="13">
        <v>45503</v>
      </c>
      <c r="B45" s="11">
        <v>1.1679967457712118E-2</v>
      </c>
      <c r="C45" s="11">
        <v>1.0310522377006906E-2</v>
      </c>
      <c r="D45" s="7">
        <f t="shared" si="4"/>
        <v>1.369445080705212E-3</v>
      </c>
      <c r="E45" s="11">
        <v>4.1999999999999997E-3</v>
      </c>
      <c r="F45" s="12">
        <f t="shared" si="5"/>
        <v>1.3173268847607331</v>
      </c>
      <c r="G45" s="12">
        <f t="shared" si="6"/>
        <v>1.3030003030060002</v>
      </c>
      <c r="H45" s="7">
        <f>F45/MAX($F$3:F45)-1</f>
        <v>0</v>
      </c>
      <c r="I45" s="7">
        <f>G45/MAX($G$3:G45)-1</f>
        <v>0</v>
      </c>
      <c r="J45" s="7">
        <f t="shared" si="3"/>
        <v>1.3694450807051339E-3</v>
      </c>
    </row>
    <row r="46" spans="1:10">
      <c r="A46" s="13">
        <v>45534</v>
      </c>
      <c r="B46" s="11">
        <v>3.8357203240313116E-2</v>
      </c>
      <c r="C46" s="11">
        <v>3.6938127713745696E-2</v>
      </c>
      <c r="D46" s="7">
        <f t="shared" si="4"/>
        <v>1.4190755265674204E-3</v>
      </c>
      <c r="E46" s="11">
        <v>4.1999999999999997E-3</v>
      </c>
      <c r="F46" s="12">
        <f t="shared" si="5"/>
        <v>1.3678558598134292</v>
      </c>
      <c r="G46" s="12">
        <f t="shared" si="6"/>
        <v>1.3511306946094852</v>
      </c>
      <c r="H46" s="7">
        <f>F46/MAX($F$3:F46)-1</f>
        <v>0</v>
      </c>
      <c r="I46" s="7">
        <f>G46/MAX($G$3:G46)-1</f>
        <v>0</v>
      </c>
      <c r="J46" s="7">
        <f t="shared" ref="J46:J77" si="7">PRODUCT(1+D35:D46)-1</f>
        <v>1.4190755265675037E-3</v>
      </c>
    </row>
    <row r="47" spans="1:10">
      <c r="A47" s="13">
        <v>45565</v>
      </c>
      <c r="B47" s="11">
        <v>2.5110815155981087E-2</v>
      </c>
      <c r="C47" s="11">
        <v>2.4709539043848823E-2</v>
      </c>
      <c r="D47" s="7">
        <f t="shared" si="4"/>
        <v>4.012761121322643E-4</v>
      </c>
      <c r="E47" s="11">
        <v>4.1999999999999997E-3</v>
      </c>
      <c r="F47" s="12">
        <f t="shared" si="5"/>
        <v>1.4022038354692299</v>
      </c>
      <c r="G47" s="12">
        <f t="shared" si="6"/>
        <v>1.3845165112612807</v>
      </c>
      <c r="H47" s="7">
        <f>F47/MAX($F$3:F47)-1</f>
        <v>0</v>
      </c>
      <c r="I47" s="7">
        <f>G47/MAX($G$3:G47)-1</f>
        <v>0</v>
      </c>
      <c r="J47" s="7">
        <f t="shared" si="7"/>
        <v>4.0127611213236491E-4</v>
      </c>
    </row>
    <row r="48" spans="1:10">
      <c r="A48" s="13">
        <v>45595</v>
      </c>
      <c r="B48" s="11">
        <v>2.3307867315378435E-2</v>
      </c>
      <c r="C48" s="11">
        <v>2.2522860400417143E-2</v>
      </c>
      <c r="D48" s="7">
        <f t="shared" si="4"/>
        <v>7.8500691496129205E-4</v>
      </c>
      <c r="E48" s="11">
        <v>4.1999999999999997E-3</v>
      </c>
      <c r="F48" s="12">
        <f t="shared" si="5"/>
        <v>1.4348862164154614</v>
      </c>
      <c r="G48" s="12">
        <f t="shared" si="6"/>
        <v>1.415699783366491</v>
      </c>
      <c r="H48" s="7">
        <f>F48/MAX($F$3:F48)-1</f>
        <v>0</v>
      </c>
      <c r="I48" s="7">
        <f>G48/MAX($G$3:G48)-1</f>
        <v>0</v>
      </c>
      <c r="J48" s="7">
        <f t="shared" si="7"/>
        <v>7.8500691496130592E-4</v>
      </c>
    </row>
    <row r="49" spans="1:10">
      <c r="A49" s="13">
        <v>45626</v>
      </c>
      <c r="B49" s="11">
        <v>-1.6947573352294455E-2</v>
      </c>
      <c r="C49" s="11">
        <v>-1.7023879616415372E-2</v>
      </c>
      <c r="D49" s="7">
        <f t="shared" si="4"/>
        <v>7.6306264120917788E-5</v>
      </c>
      <c r="E49" s="11">
        <v>4.1999999999999997E-3</v>
      </c>
      <c r="F49" s="12">
        <f t="shared" si="5"/>
        <v>1.4105683770105641</v>
      </c>
      <c r="G49" s="12">
        <f t="shared" si="6"/>
        <v>1.3915990806814746</v>
      </c>
      <c r="H49" s="7">
        <f>F49/MAX($F$3:F49)-1</f>
        <v>-1.6947573352294465E-2</v>
      </c>
      <c r="I49" s="7">
        <f>G49/MAX($G$3:G49)-1</f>
        <v>-1.7023879616415383E-2</v>
      </c>
      <c r="J49" s="7">
        <f t="shared" si="7"/>
        <v>7.6306264120917788E-5</v>
      </c>
    </row>
    <row r="50" spans="1:10">
      <c r="A50" s="13">
        <v>45656</v>
      </c>
      <c r="B50" s="11">
        <v>1.2948433360723778E-2</v>
      </c>
      <c r="C50" s="11">
        <v>1.1859368128328137E-2</v>
      </c>
      <c r="D50" s="7">
        <f t="shared" si="4"/>
        <v>1.0890652323956411E-3</v>
      </c>
      <c r="E50" s="11">
        <v>4.1999999999999997E-3</v>
      </c>
      <c r="F50" s="12">
        <f t="shared" si="5"/>
        <v>1.4288330276410297</v>
      </c>
      <c r="G50" s="12">
        <f t="shared" si="6"/>
        <v>1.4081025664663191</v>
      </c>
      <c r="H50" s="7">
        <f>F50/MAX($F$3:F50)-1</f>
        <v>-4.2185845157488577E-3</v>
      </c>
      <c r="I50" s="7">
        <f>G50/MAX($G$3:G50)-1</f>
        <v>-5.3664039434306865E-3</v>
      </c>
      <c r="J50" s="7">
        <f t="shared" si="7"/>
        <v>1.0890652323956029E-3</v>
      </c>
    </row>
    <row r="51" spans="1:10">
      <c r="A51" s="13">
        <v>45687</v>
      </c>
      <c r="B51" s="11">
        <v>1.7768413367341914E-2</v>
      </c>
      <c r="C51" s="11">
        <v>1.5796460071572861E-2</v>
      </c>
      <c r="D51" s="7">
        <f t="shared" si="4"/>
        <v>1.9719532957690536E-3</v>
      </c>
      <c r="E51" s="11">
        <v>3.8E-3</v>
      </c>
      <c r="F51" s="12">
        <f t="shared" si="5"/>
        <v>1.4542211235090663</v>
      </c>
      <c r="G51" s="12">
        <f t="shared" si="6"/>
        <v>1.4303456024341834</v>
      </c>
      <c r="H51" s="7">
        <f>F51/MAX($F$3:F51)-1</f>
        <v>0</v>
      </c>
      <c r="I51" s="7">
        <f>G51/MAX($G$3:G51)-1</f>
        <v>0</v>
      </c>
      <c r="J51" s="7">
        <f t="shared" si="7"/>
        <v>1.9719532957691577E-3</v>
      </c>
    </row>
    <row r="52" spans="1:10">
      <c r="A52" s="13">
        <v>45716</v>
      </c>
      <c r="B52" s="11">
        <v>1.4291037061563813E-2</v>
      </c>
      <c r="C52" s="11">
        <v>1.3822768914310354E-2</v>
      </c>
      <c r="D52" s="7">
        <f t="shared" si="4"/>
        <v>4.6826814725345854E-4</v>
      </c>
      <c r="E52" s="11">
        <v>3.8E-3</v>
      </c>
      <c r="F52" s="12">
        <f t="shared" si="5"/>
        <v>1.4750034514808434</v>
      </c>
      <c r="G52" s="12">
        <f t="shared" si="6"/>
        <v>1.4501169391642312</v>
      </c>
      <c r="H52" s="7">
        <f>F52/MAX($F$3:F52)-1</f>
        <v>0</v>
      </c>
      <c r="I52" s="7">
        <f>G52/MAX($G$3:G52)-1</f>
        <v>0</v>
      </c>
      <c r="J52" s="7">
        <f t="shared" si="7"/>
        <v>4.6826814725342558E-4</v>
      </c>
    </row>
    <row r="53" spans="1:10">
      <c r="A53" s="13">
        <v>45746</v>
      </c>
      <c r="B53" s="11">
        <v>-3.7776750639848228E-2</v>
      </c>
      <c r="C53" s="11">
        <v>-3.5999616403980417E-2</v>
      </c>
      <c r="D53" s="7">
        <f t="shared" si="4"/>
        <v>-1.7771342358678111E-3</v>
      </c>
      <c r="E53" s="11">
        <v>3.8E-3</v>
      </c>
      <c r="F53" s="12">
        <f t="shared" si="5"/>
        <v>1.4192826139013361</v>
      </c>
      <c r="G53" s="12">
        <f t="shared" si="6"/>
        <v>1.3979132856134047</v>
      </c>
      <c r="H53" s="7">
        <f>F53/MAX($F$3:F53)-1</f>
        <v>-3.77767506398482E-2</v>
      </c>
      <c r="I53" s="7">
        <f>G53/MAX($G$3:G53)-1</f>
        <v>-3.5999616403980417E-2</v>
      </c>
      <c r="J53" s="7">
        <f t="shared" si="7"/>
        <v>-1.7771342358677833E-3</v>
      </c>
    </row>
    <row r="54" spans="1:10">
      <c r="A54" s="13">
        <v>45777</v>
      </c>
      <c r="B54" s="11">
        <v>-2.8610175100394876E-3</v>
      </c>
      <c r="C54" s="11">
        <v>-2.0942259030144092E-3</v>
      </c>
      <c r="D54" s="7">
        <f t="shared" si="4"/>
        <v>-7.6679160702507838E-4</v>
      </c>
      <c r="E54" s="11">
        <v>3.8E-3</v>
      </c>
      <c r="F54" s="12">
        <f t="shared" si="5"/>
        <v>1.4152220214912699</v>
      </c>
      <c r="G54" s="12">
        <f t="shared" si="6"/>
        <v>1.394985739400505</v>
      </c>
      <c r="H54" s="7">
        <f>F54/MAX($F$3:F54)-1</f>
        <v>-4.0529688204834713E-2</v>
      </c>
      <c r="I54" s="7">
        <f>G54/MAX($G$3:G54)-1</f>
        <v>-3.8018450977823193E-2</v>
      </c>
      <c r="J54" s="7">
        <f t="shared" si="7"/>
        <v>-7.6679160702508575E-4</v>
      </c>
    </row>
    <row r="55" spans="1:10">
      <c r="A55" s="13">
        <v>45807</v>
      </c>
      <c r="B55" s="11">
        <v>-4.0739458152184688E-2</v>
      </c>
      <c r="C55" s="11">
        <v>-4.0138712594412179E-2</v>
      </c>
      <c r="D55" s="7">
        <f t="shared" si="4"/>
        <v>-6.0074555777250849E-4</v>
      </c>
      <c r="E55" s="11">
        <v>3.8E-3</v>
      </c>
      <c r="F55" s="12">
        <f t="shared" si="5"/>
        <v>1.3575666431706761</v>
      </c>
      <c r="G55" s="12">
        <f t="shared" si="6"/>
        <v>1.3389928077334046</v>
      </c>
      <c r="H55" s="7">
        <f>F55/MAX($F$3:F55)-1</f>
        <v>-7.9617988820477326E-2</v>
      </c>
      <c r="I55" s="7">
        <f>G55/MAX($G$3:G55)-1</f>
        <v>-7.6631151895151683E-2</v>
      </c>
      <c r="J55" s="7">
        <f t="shared" si="7"/>
        <v>-6.00745557772564E-4</v>
      </c>
    </row>
    <row r="56" spans="1:10">
      <c r="A56" s="13">
        <v>45838</v>
      </c>
      <c r="B56" s="11">
        <v>2.1270330619713108E-2</v>
      </c>
      <c r="C56" s="11">
        <v>2.1184913183114152E-2</v>
      </c>
      <c r="D56" s="7">
        <f t="shared" si="4"/>
        <v>8.5417436598955732E-5</v>
      </c>
      <c r="E56" s="11">
        <v>3.8E-3</v>
      </c>
      <c r="F56" s="12">
        <f t="shared" si="5"/>
        <v>1.3864425345092104</v>
      </c>
      <c r="G56" s="12">
        <f t="shared" si="6"/>
        <v>1.367359254118051</v>
      </c>
      <c r="H56" s="7">
        <f>F56/MAX($F$3:F56)-1</f>
        <v>-6.0041159146252521E-2</v>
      </c>
      <c r="I56" s="7">
        <f>G56/MAX($G$3:G56)-1</f>
        <v>-5.7069663012058403E-2</v>
      </c>
      <c r="J56" s="7">
        <f t="shared" si="7"/>
        <v>8.5417436598955732E-5</v>
      </c>
    </row>
    <row r="57" spans="1:10">
      <c r="A57" s="13">
        <v>45868</v>
      </c>
      <c r="B57" s="11">
        <v>-4.89802880332188E-2</v>
      </c>
      <c r="C57" s="11">
        <v>-4.7268606199076524E-2</v>
      </c>
      <c r="D57" s="7">
        <f t="shared" si="4"/>
        <v>-1.7116818341422757E-3</v>
      </c>
      <c r="E57" s="11">
        <v>3.8E-3</v>
      </c>
      <c r="F57" s="12">
        <f t="shared" si="5"/>
        <v>1.3185341798274433</v>
      </c>
      <c r="G57" s="12">
        <f t="shared" si="6"/>
        <v>1.3027260880024818</v>
      </c>
      <c r="H57" s="7">
        <f>F57/MAX($F$3:F57)-1</f>
        <v>-0.10608061391063961</v>
      </c>
      <c r="I57" s="7">
        <f>G57/MAX($G$3:G57)-1</f>
        <v>-0.10164066578430397</v>
      </c>
      <c r="J57" s="7">
        <f t="shared" si="7"/>
        <v>-1.7116818341422757E-3</v>
      </c>
    </row>
    <row r="58" spans="1:10">
      <c r="A58" s="13">
        <v>45899</v>
      </c>
      <c r="B58" s="11">
        <v>2.6365506115552426E-2</v>
      </c>
      <c r="C58" s="11">
        <v>2.5879880455453603E-2</v>
      </c>
      <c r="D58" s="7">
        <f t="shared" si="4"/>
        <v>4.8562566009882277E-4</v>
      </c>
      <c r="E58" s="11">
        <v>3.8E-3</v>
      </c>
      <c r="F58" s="12">
        <f t="shared" si="5"/>
        <v>1.3532980008092486</v>
      </c>
      <c r="G58" s="12">
        <f t="shared" si="6"/>
        <v>1.3364404834261867</v>
      </c>
      <c r="H58" s="7">
        <f>F58/MAX($F$3:F58)-1</f>
        <v>-8.2511976869889758E-2</v>
      </c>
      <c r="I58" s="7">
        <f>G58/MAX($G$3:G58)-1</f>
        <v>-7.839123360876088E-2</v>
      </c>
      <c r="J58" s="7">
        <f t="shared" si="7"/>
        <v>4.8562566009890951E-4</v>
      </c>
    </row>
    <row r="59" spans="1:10">
      <c r="A59" s="13">
        <v>45930</v>
      </c>
      <c r="B59" s="11">
        <v>3.9869813396746327E-2</v>
      </c>
      <c r="C59" s="11">
        <v>3.7850194925954046E-2</v>
      </c>
      <c r="D59" s="7">
        <f t="shared" si="4"/>
        <v>2.019618470792281E-3</v>
      </c>
      <c r="E59" s="11">
        <v>3.8E-3</v>
      </c>
      <c r="F59" s="12">
        <f t="shared" si="5"/>
        <v>1.4072537395717031</v>
      </c>
      <c r="G59" s="12">
        <f t="shared" si="6"/>
        <v>1.387025016230804</v>
      </c>
      <c r="H59" s="7">
        <f>F59/MAX($F$3:F59)-1</f>
        <v>-4.5931900593942587E-2</v>
      </c>
      <c r="I59" s="7">
        <f>G59/MAX($G$3:G59)-1</f>
        <v>-4.3508162155384555E-2</v>
      </c>
      <c r="J59" s="7">
        <f t="shared" si="7"/>
        <v>2.0196184707923504E-3</v>
      </c>
    </row>
    <row r="60" spans="1:10">
      <c r="A60" s="13">
        <v>45960</v>
      </c>
      <c r="B60" s="11">
        <v>-4.6080008715389975E-2</v>
      </c>
      <c r="C60" s="11">
        <v>-4.539758955843471E-2</v>
      </c>
      <c r="D60" s="7">
        <f t="shared" si="4"/>
        <v>-6.8241915695526484E-4</v>
      </c>
      <c r="E60" s="11">
        <v>3.8E-3</v>
      </c>
      <c r="F60" s="12">
        <f t="shared" si="5"/>
        <v>1.3424074749874739</v>
      </c>
      <c r="G60" s="12">
        <f t="shared" si="6"/>
        <v>1.3240574238366767</v>
      </c>
      <c r="H60" s="7">
        <f>F60/MAX($F$3:F60)-1</f>
        <v>-8.9895366929649279E-2</v>
      </c>
      <c r="I60" s="7">
        <f>G60/MAX($G$3:G60)-1</f>
        <v>-8.6930586025847245E-2</v>
      </c>
      <c r="J60" s="7">
        <f t="shared" si="7"/>
        <v>-6.8241915695521627E-4</v>
      </c>
    </row>
    <row r="61" spans="1:10">
      <c r="A61" s="13">
        <v>45991</v>
      </c>
      <c r="B61" s="11">
        <v>1.2518942642508931E-2</v>
      </c>
      <c r="C61" s="11">
        <v>1.2437585351404193E-2</v>
      </c>
      <c r="D61" s="7">
        <f t="shared" si="4"/>
        <v>8.1357291104738189E-5</v>
      </c>
      <c r="E61" s="11">
        <v>3.8E-3</v>
      </c>
      <c r="F61" s="12">
        <f t="shared" si="5"/>
        <v>1.3592129971697173</v>
      </c>
      <c r="G61" s="12">
        <f t="shared" si="6"/>
        <v>1.3405255010558057</v>
      </c>
      <c r="H61" s="7">
        <f>F61/MAX($F$3:F61)-1</f>
        <v>-7.8501819229559899E-2</v>
      </c>
      <c r="I61" s="7">
        <f>G61/MAX($G$3:G61)-1</f>
        <v>-7.5574207257787185E-2</v>
      </c>
      <c r="J61" s="7">
        <f t="shared" si="7"/>
        <v>8.1357291104700025E-5</v>
      </c>
    </row>
    <row r="62" spans="1:10">
      <c r="A62" s="13">
        <v>46021</v>
      </c>
      <c r="B62" s="11">
        <v>2.3584872773227653E-3</v>
      </c>
      <c r="C62" s="11">
        <v>2.0338134391896415E-3</v>
      </c>
      <c r="D62" s="7">
        <f t="shared" si="4"/>
        <v>3.2467383813312382E-4</v>
      </c>
      <c r="E62" s="11">
        <v>3.8E-3</v>
      </c>
      <c r="F62" s="12">
        <f t="shared" si="5"/>
        <v>1.362418683730714</v>
      </c>
      <c r="G62" s="12">
        <f t="shared" si="6"/>
        <v>1.3432518798354296</v>
      </c>
      <c r="H62" s="7">
        <f>F62/MAX($F$3:F62)-1</f>
        <v>-7.6328477494136737E-2</v>
      </c>
      <c r="I62" s="7">
        <f>G62/MAX($G$3:G62)-1</f>
        <v>-7.3694097656974433E-2</v>
      </c>
      <c r="J62" s="7">
        <f t="shared" si="7"/>
        <v>3.246738381330605E-4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1"/>
  <sheetViews>
    <sheetView workbookViewId="0">
      <selection activeCell="D20" sqref="D20"/>
    </sheetView>
  </sheetViews>
  <sheetFormatPr baseColWidth="10" defaultColWidth="8.83203125" defaultRowHeight="14"/>
  <cols>
    <col min="1" max="1" width="24" customWidth="1"/>
    <col min="2" max="3" width="16" customWidth="1"/>
    <col min="4" max="4" width="52" customWidth="1"/>
  </cols>
  <sheetData>
    <row r="1" spans="1:8" ht="19">
      <c r="A1" s="56" t="s">
        <v>121</v>
      </c>
      <c r="B1" s="56"/>
      <c r="C1" s="56"/>
      <c r="D1" s="56"/>
      <c r="E1" s="56"/>
      <c r="F1" s="56"/>
      <c r="G1" s="56"/>
      <c r="H1" s="56"/>
    </row>
    <row r="3" spans="1:8">
      <c r="A3" s="1" t="s">
        <v>122</v>
      </c>
      <c r="B3" s="1" t="s">
        <v>123</v>
      </c>
      <c r="C3" s="1" t="s">
        <v>124</v>
      </c>
      <c r="D3" s="1" t="s">
        <v>125</v>
      </c>
    </row>
    <row r="4" spans="1:8">
      <c r="A4" t="s">
        <v>3</v>
      </c>
      <c r="B4" s="7">
        <f>PRODUCT(1+'Monthly Returns'!B3:B62)^(12/60)-1</f>
        <v>-8.2755864680993385E-3</v>
      </c>
      <c r="C4" s="7">
        <f>PRODUCT(1+'Monthly Returns'!C3:C62)^(12/60)-1</f>
        <v>-7.8910644728142909E-3</v>
      </c>
      <c r="D4" t="s">
        <v>126</v>
      </c>
    </row>
    <row r="5" spans="1:8">
      <c r="A5" t="s">
        <v>127</v>
      </c>
      <c r="B5" s="7">
        <f>_xlfn.STDEV.S('Monthly Returns'!B3:B62)*SQRT(12)</f>
        <v>9.1769863660591228E-2</v>
      </c>
      <c r="C5" s="7">
        <f>_xlfn.STDEV.S('Monthly Returns'!C3:C62)*SQRT(12)</f>
        <v>8.8092063709183085E-2</v>
      </c>
      <c r="D5" t="s">
        <v>128</v>
      </c>
    </row>
    <row r="6" spans="1:8">
      <c r="A6" t="s">
        <v>5</v>
      </c>
      <c r="B6" s="14">
        <f>(B4-AVERAGE('Monthly Returns'!E3:E62)*12)/B5</f>
        <v>-0.43277373294338239</v>
      </c>
      <c r="C6" s="14">
        <f>(C4-AVERAGE('Monthly Returns'!E3:E62)*12)/C5</f>
        <v>-0.44647682000795536</v>
      </c>
      <c r="D6" t="s">
        <v>129</v>
      </c>
    </row>
    <row r="7" spans="1:8">
      <c r="A7" t="s">
        <v>6</v>
      </c>
      <c r="B7" s="7">
        <f>MIN('Monthly Returns'!H3:H62)</f>
        <v>-0.10608061391063961</v>
      </c>
      <c r="C7" s="7">
        <f>MIN('Monthly Returns'!I3:I62)</f>
        <v>-0.10164066578430397</v>
      </c>
      <c r="D7" t="s">
        <v>130</v>
      </c>
    </row>
    <row r="8" spans="1:8">
      <c r="A8" t="s">
        <v>131</v>
      </c>
      <c r="B8" s="7" cm="1">
        <f t="array" ref="B8">_xlfn.STDEV.S(IF('Monthly Returns'!B3:B62&lt;0,'Monthly Returns'!B3:B62))*SQRT(12)</f>
        <v>5.3436846695008068E-2</v>
      </c>
      <c r="C8" s="7" cm="1">
        <f t="array" ref="C8">_xlfn.STDEV.S(IF('Monthly Returns'!C3:C62&lt;0,'Monthly Returns'!C3:C62))*SQRT(12)</f>
        <v>5.4027157742439283E-2</v>
      </c>
      <c r="D8" t="s">
        <v>132</v>
      </c>
    </row>
    <row r="9" spans="1:8">
      <c r="A9" t="s">
        <v>133</v>
      </c>
      <c r="B9" s="14">
        <f>(B4-AVERAGE('Monthly Returns'!E3:E62)*12)/B8</f>
        <v>-0.7432247395655075</v>
      </c>
      <c r="C9" s="14">
        <f>(C4-AVERAGE('Monthly Returns'!E3:E62)*12)/C8</f>
        <v>-0.72798692576639157</v>
      </c>
      <c r="D9" t="s">
        <v>134</v>
      </c>
    </row>
    <row r="10" spans="1:8">
      <c r="A10" t="s">
        <v>7</v>
      </c>
      <c r="B10" s="7">
        <f>_xlfn.STDEV.S('Monthly Returns'!D3:D62)*SQRT(12)</f>
        <v>4.5165327338985897E-3</v>
      </c>
      <c r="C10" s="7" t="s">
        <v>135</v>
      </c>
      <c r="D10" t="s">
        <v>136</v>
      </c>
    </row>
    <row r="11" spans="1:8">
      <c r="A11" t="s">
        <v>8</v>
      </c>
      <c r="B11" s="14">
        <f>(B4-C4)/B10</f>
        <v>-8.5136545651277748E-2</v>
      </c>
      <c r="C11" s="14" t="s">
        <v>135</v>
      </c>
      <c r="D11" t="s">
        <v>137</v>
      </c>
    </row>
    <row r="12" spans="1:8">
      <c r="A12" t="s">
        <v>138</v>
      </c>
      <c r="B12" s="7">
        <f>COUNTIF('Monthly Returns'!B3:B62,"&gt;0")/60</f>
        <v>0.68333333333333335</v>
      </c>
      <c r="C12" s="7">
        <f>COUNTIF('Monthly Returns'!C3:C62,"&gt;0")/60</f>
        <v>0.66666666666666663</v>
      </c>
      <c r="D12" t="s">
        <v>139</v>
      </c>
    </row>
    <row r="13" spans="1:8">
      <c r="A13" t="s">
        <v>140</v>
      </c>
      <c r="B13" s="14">
        <f>_xlfn.COVARIANCE.S('Monthly Returns'!B3:B62,'Monthly Returns'!C3:C62)/_xlfn.VAR.S('Monthly Returns'!C3:C62)</f>
        <v>1.0413066772876101</v>
      </c>
      <c r="C13" s="14">
        <f>1</f>
        <v>1</v>
      </c>
      <c r="D13" t="s">
        <v>141</v>
      </c>
    </row>
    <row r="14" spans="1:8">
      <c r="A14" t="s">
        <v>142</v>
      </c>
      <c r="B14" s="14">
        <f>CORREL('Monthly Returns'!B3:B62,'Monthly Returns'!C3:C62)</f>
        <v>0.99957492032114603</v>
      </c>
      <c r="C14" s="14">
        <f>1</f>
        <v>1</v>
      </c>
      <c r="D14" t="s">
        <v>143</v>
      </c>
    </row>
    <row r="16" spans="1:8">
      <c r="A16" s="1" t="s">
        <v>144</v>
      </c>
      <c r="B16" s="1" t="s">
        <v>42</v>
      </c>
      <c r="C16" s="1" t="s">
        <v>145</v>
      </c>
      <c r="D16" s="1" t="s">
        <v>146</v>
      </c>
    </row>
    <row r="17" spans="1:4">
      <c r="A17" t="s">
        <v>16</v>
      </c>
      <c r="B17" s="11">
        <v>0.42</v>
      </c>
      <c r="C17" s="11">
        <v>0.17499999999999999</v>
      </c>
      <c r="D17" s="7">
        <f>B17*C17/SUMPRODUCT($B$17:$B$21,$C$17:$C$21)</f>
        <v>0.59853420195439744</v>
      </c>
    </row>
    <row r="18" spans="1:4">
      <c r="A18" t="s">
        <v>17</v>
      </c>
      <c r="B18" s="11">
        <v>0.27</v>
      </c>
      <c r="C18" s="11">
        <v>6.5000000000000002E-2</v>
      </c>
      <c r="D18" s="7">
        <f>B18*C18/SUMPRODUCT($B$17:$B$21,$C$17:$C$21)</f>
        <v>0.14291530944625414</v>
      </c>
    </row>
    <row r="19" spans="1:4">
      <c r="A19" t="s">
        <v>18</v>
      </c>
      <c r="B19" s="11">
        <v>0.12</v>
      </c>
      <c r="C19" s="11">
        <v>9.5000000000000001E-2</v>
      </c>
      <c r="D19" s="7">
        <f>B19*C19/SUMPRODUCT($B$17:$B$21,$C$17:$C$21)</f>
        <v>9.2833876221498385E-2</v>
      </c>
    </row>
    <row r="20" spans="1:4">
      <c r="A20" t="s">
        <v>19</v>
      </c>
      <c r="B20" s="11">
        <v>0.11</v>
      </c>
      <c r="C20" s="11">
        <v>0.14499999999999999</v>
      </c>
      <c r="D20" s="7">
        <f>B20*C20/SUMPRODUCT($B$17:$B$21,$C$17:$C$21)</f>
        <v>0.12988599348534202</v>
      </c>
    </row>
    <row r="21" spans="1:4">
      <c r="A21" t="s">
        <v>147</v>
      </c>
      <c r="B21" s="11">
        <v>0.08</v>
      </c>
      <c r="C21" s="11">
        <v>5.5E-2</v>
      </c>
      <c r="D21" s="7">
        <f>B21*C21/SUMPRODUCT($B$17:$B$21,$C$17:$C$21)</f>
        <v>3.5830618892508152E-2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2"/>
  <sheetViews>
    <sheetView workbookViewId="0">
      <selection sqref="A1:J1"/>
    </sheetView>
  </sheetViews>
  <sheetFormatPr baseColWidth="10" defaultColWidth="8.83203125" defaultRowHeight="14"/>
  <cols>
    <col min="1" max="1" width="28" customWidth="1"/>
    <col min="2" max="2" width="16" customWidth="1"/>
    <col min="3" max="3" width="12" customWidth="1"/>
    <col min="4" max="4" width="11" customWidth="1"/>
    <col min="5" max="6" width="14" customWidth="1"/>
    <col min="7" max="8" width="16" customWidth="1"/>
    <col min="9" max="10" width="18" customWidth="1"/>
  </cols>
  <sheetData>
    <row r="1" spans="1:10" ht="19">
      <c r="A1" s="56" t="s">
        <v>148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30">
      <c r="A2" s="2" t="s">
        <v>37</v>
      </c>
      <c r="B2" s="2" t="s">
        <v>41</v>
      </c>
      <c r="C2" s="2" t="s">
        <v>149</v>
      </c>
      <c r="D2" s="2" t="s">
        <v>150</v>
      </c>
      <c r="E2" s="2" t="s">
        <v>151</v>
      </c>
      <c r="F2" s="2" t="s">
        <v>152</v>
      </c>
      <c r="G2" s="2" t="s">
        <v>153</v>
      </c>
      <c r="H2" s="2" t="s">
        <v>154</v>
      </c>
      <c r="I2" s="2" t="s">
        <v>155</v>
      </c>
      <c r="J2" s="2" t="s">
        <v>156</v>
      </c>
    </row>
    <row r="3" spans="1:10">
      <c r="A3" s="9" t="s">
        <v>65</v>
      </c>
      <c r="B3" s="10">
        <v>11900000</v>
      </c>
      <c r="C3" s="11">
        <f t="shared" ref="C3:C11" si="0">B3/SUM($B$3:$B$11)</f>
        <v>0.18421052631578946</v>
      </c>
      <c r="D3" s="16">
        <v>5.2</v>
      </c>
      <c r="E3" s="11">
        <v>4.2999999999999997E-2</v>
      </c>
      <c r="F3" s="9" t="s">
        <v>157</v>
      </c>
      <c r="G3">
        <f t="shared" ref="G3:G11" si="1">C3*D3</f>
        <v>0.95789473684210524</v>
      </c>
      <c r="H3">
        <f t="shared" ref="H3:H11" si="2">C3*E3</f>
        <v>7.9210526315789467E-3</v>
      </c>
      <c r="I3" s="5">
        <f t="shared" ref="I3:I11" si="3">-D3*1%*B3</f>
        <v>-618800</v>
      </c>
      <c r="J3" s="5">
        <f t="shared" ref="J3:J11" si="4">D3*1%*B3</f>
        <v>618800</v>
      </c>
    </row>
    <row r="4" spans="1:10">
      <c r="A4" s="9" t="s">
        <v>68</v>
      </c>
      <c r="B4" s="10">
        <v>13600000</v>
      </c>
      <c r="C4" s="11">
        <f t="shared" si="0"/>
        <v>0.21052631578947367</v>
      </c>
      <c r="D4" s="16">
        <v>6.1</v>
      </c>
      <c r="E4" s="11">
        <v>4.9000000000000002E-2</v>
      </c>
      <c r="F4" s="9" t="s">
        <v>158</v>
      </c>
      <c r="G4">
        <f t="shared" si="1"/>
        <v>1.2842105263157892</v>
      </c>
      <c r="H4">
        <f t="shared" si="2"/>
        <v>1.031578947368421E-2</v>
      </c>
      <c r="I4" s="5">
        <f t="shared" si="3"/>
        <v>-829600</v>
      </c>
      <c r="J4" s="5">
        <f t="shared" si="4"/>
        <v>829600</v>
      </c>
    </row>
    <row r="5" spans="1:10">
      <c r="A5" s="9" t="s">
        <v>71</v>
      </c>
      <c r="B5" s="10">
        <v>6800000</v>
      </c>
      <c r="C5" s="11">
        <f t="shared" si="0"/>
        <v>0.10526315789473684</v>
      </c>
      <c r="D5" s="16">
        <v>2.4</v>
      </c>
      <c r="E5" s="11">
        <v>5.6000000000000001E-2</v>
      </c>
      <c r="F5" s="9" t="s">
        <v>159</v>
      </c>
      <c r="G5">
        <f t="shared" si="1"/>
        <v>0.25263157894736837</v>
      </c>
      <c r="H5">
        <f t="shared" si="2"/>
        <v>5.8947368421052634E-3</v>
      </c>
      <c r="I5" s="5">
        <f t="shared" si="3"/>
        <v>-163200</v>
      </c>
      <c r="J5" s="5">
        <f t="shared" si="4"/>
        <v>163200</v>
      </c>
    </row>
    <row r="6" spans="1:10">
      <c r="A6" s="9" t="s">
        <v>74</v>
      </c>
      <c r="B6" s="10">
        <v>5100000</v>
      </c>
      <c r="C6" s="11">
        <f t="shared" si="0"/>
        <v>7.8947368421052627E-2</v>
      </c>
      <c r="D6" s="16">
        <v>5.6</v>
      </c>
      <c r="E6" s="11">
        <v>4.1000000000000002E-2</v>
      </c>
      <c r="F6" s="9" t="s">
        <v>160</v>
      </c>
      <c r="G6">
        <f t="shared" si="1"/>
        <v>0.44210526315789467</v>
      </c>
      <c r="H6">
        <f t="shared" si="2"/>
        <v>3.2368421052631578E-3</v>
      </c>
      <c r="I6" s="5">
        <f t="shared" si="3"/>
        <v>-285599.99999999994</v>
      </c>
      <c r="J6" s="5">
        <f t="shared" si="4"/>
        <v>285599.99999999994</v>
      </c>
    </row>
    <row r="7" spans="1:10">
      <c r="A7" s="9" t="s">
        <v>77</v>
      </c>
      <c r="B7" s="10">
        <v>5100000</v>
      </c>
      <c r="C7" s="11">
        <f t="shared" si="0"/>
        <v>7.8947368421052627E-2</v>
      </c>
      <c r="D7" s="16">
        <v>3.7</v>
      </c>
      <c r="E7" s="11">
        <v>7.1999999999999995E-2</v>
      </c>
      <c r="F7" s="9" t="s">
        <v>161</v>
      </c>
      <c r="G7">
        <f t="shared" si="1"/>
        <v>0.29210526315789476</v>
      </c>
      <c r="H7">
        <f t="shared" si="2"/>
        <v>5.684210526315789E-3</v>
      </c>
      <c r="I7" s="5">
        <f t="shared" si="3"/>
        <v>-188700.00000000003</v>
      </c>
      <c r="J7" s="5">
        <f t="shared" si="4"/>
        <v>188700.00000000003</v>
      </c>
    </row>
    <row r="8" spans="1:10">
      <c r="A8" s="9" t="s">
        <v>80</v>
      </c>
      <c r="B8" s="10">
        <v>3400000</v>
      </c>
      <c r="C8" s="11">
        <f t="shared" si="0"/>
        <v>5.2631578947368418E-2</v>
      </c>
      <c r="D8" s="16">
        <v>6.8</v>
      </c>
      <c r="E8" s="11">
        <v>4.3999999999999997E-2</v>
      </c>
      <c r="F8" s="9" t="s">
        <v>157</v>
      </c>
      <c r="G8">
        <f t="shared" si="1"/>
        <v>0.35789473684210521</v>
      </c>
      <c r="H8">
        <f t="shared" si="2"/>
        <v>2.3157894736842103E-3</v>
      </c>
      <c r="I8" s="5">
        <f t="shared" si="3"/>
        <v>-231200.00000000003</v>
      </c>
      <c r="J8" s="5">
        <f t="shared" si="4"/>
        <v>231200.00000000003</v>
      </c>
    </row>
    <row r="9" spans="1:10">
      <c r="A9" s="9" t="s">
        <v>82</v>
      </c>
      <c r="B9" s="10">
        <v>8500000</v>
      </c>
      <c r="C9" s="11">
        <f t="shared" si="0"/>
        <v>0.13157894736842105</v>
      </c>
      <c r="D9" s="16">
        <v>2.1</v>
      </c>
      <c r="E9" s="11">
        <v>0.10199999999999999</v>
      </c>
      <c r="F9" s="9" t="s">
        <v>161</v>
      </c>
      <c r="G9">
        <f t="shared" si="1"/>
        <v>0.27631578947368418</v>
      </c>
      <c r="H9">
        <f t="shared" si="2"/>
        <v>1.3421052631578946E-2</v>
      </c>
      <c r="I9" s="5">
        <f t="shared" si="3"/>
        <v>-178500</v>
      </c>
      <c r="J9" s="5">
        <f t="shared" si="4"/>
        <v>178500</v>
      </c>
    </row>
    <row r="10" spans="1:10">
      <c r="A10" s="9" t="s">
        <v>85</v>
      </c>
      <c r="B10" s="10">
        <v>5100000</v>
      </c>
      <c r="C10" s="11">
        <f t="shared" si="0"/>
        <v>7.8947368421052627E-2</v>
      </c>
      <c r="D10" s="16">
        <v>2.5</v>
      </c>
      <c r="E10" s="11">
        <v>9.8000000000000004E-2</v>
      </c>
      <c r="F10" s="9" t="s">
        <v>161</v>
      </c>
      <c r="G10">
        <f t="shared" si="1"/>
        <v>0.19736842105263158</v>
      </c>
      <c r="H10">
        <f t="shared" si="2"/>
        <v>7.7368421052631574E-3</v>
      </c>
      <c r="I10" s="5">
        <f t="shared" si="3"/>
        <v>-127500</v>
      </c>
      <c r="J10" s="5">
        <f t="shared" si="4"/>
        <v>127500</v>
      </c>
    </row>
    <row r="11" spans="1:10">
      <c r="A11" s="9" t="s">
        <v>106</v>
      </c>
      <c r="B11" s="10">
        <v>5100000</v>
      </c>
      <c r="C11" s="11">
        <f t="shared" si="0"/>
        <v>7.8947368421052627E-2</v>
      </c>
      <c r="D11" s="16">
        <v>0.2</v>
      </c>
      <c r="E11" s="11">
        <v>4.1000000000000002E-2</v>
      </c>
      <c r="F11" s="9" t="s">
        <v>157</v>
      </c>
      <c r="G11">
        <f t="shared" si="1"/>
        <v>1.5789473684210527E-2</v>
      </c>
      <c r="H11">
        <f t="shared" si="2"/>
        <v>3.2368421052631578E-3</v>
      </c>
      <c r="I11" s="5">
        <f t="shared" si="3"/>
        <v>-10200</v>
      </c>
      <c r="J11" s="5">
        <f t="shared" si="4"/>
        <v>10200</v>
      </c>
    </row>
    <row r="12" spans="1:10">
      <c r="A12" s="4" t="s">
        <v>162</v>
      </c>
      <c r="B12" s="6">
        <f>SUM(B3:B11)</f>
        <v>64600000</v>
      </c>
      <c r="C12" s="8">
        <f>SUM(C3:C11)</f>
        <v>1</v>
      </c>
      <c r="D12" s="15">
        <f>SUM(G3:G11)</f>
        <v>4.0763157894736839</v>
      </c>
      <c r="E12" s="8">
        <f>SUM(H3:H11)</f>
        <v>5.9763157894736837E-2</v>
      </c>
      <c r="F12" s="4"/>
      <c r="G12" s="4"/>
      <c r="H12" s="4"/>
      <c r="I12" s="6">
        <f>SUM(I3:I11)</f>
        <v>-2633300</v>
      </c>
      <c r="J12" s="6">
        <f>SUM(J3:J11)</f>
        <v>2633300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1"/>
  <sheetViews>
    <sheetView workbookViewId="0">
      <selection sqref="A1:J1"/>
    </sheetView>
  </sheetViews>
  <sheetFormatPr baseColWidth="10" defaultColWidth="8.83203125" defaultRowHeight="14"/>
  <cols>
    <col min="1" max="1" width="24" customWidth="1"/>
    <col min="2" max="3" width="13" customWidth="1"/>
    <col min="4" max="4" width="14" customWidth="1"/>
    <col min="5" max="6" width="12" customWidth="1"/>
    <col min="7" max="7" width="10" customWidth="1"/>
    <col min="8" max="9" width="18" customWidth="1"/>
    <col min="10" max="10" width="48" customWidth="1"/>
    <col min="12" max="12" width="18" customWidth="1"/>
    <col min="13" max="13" width="12" customWidth="1"/>
  </cols>
  <sheetData>
    <row r="1" spans="1:13" ht="19">
      <c r="A1" s="56" t="s">
        <v>163</v>
      </c>
      <c r="B1" s="56"/>
      <c r="C1" s="56"/>
      <c r="D1" s="56"/>
      <c r="E1" s="56"/>
      <c r="F1" s="56"/>
      <c r="G1" s="56"/>
      <c r="H1" s="56"/>
      <c r="I1" s="56"/>
      <c r="J1" s="56"/>
    </row>
    <row r="2" spans="1:13">
      <c r="L2" s="17" t="s">
        <v>12</v>
      </c>
      <c r="M2" s="17" t="s">
        <v>149</v>
      </c>
    </row>
    <row r="3" spans="1:13" ht="30">
      <c r="A3" s="2" t="s">
        <v>164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165</v>
      </c>
      <c r="I3" s="2" t="s">
        <v>166</v>
      </c>
      <c r="J3" s="2" t="s">
        <v>125</v>
      </c>
      <c r="L3" t="s">
        <v>16</v>
      </c>
      <c r="M3" s="7">
        <v>0.42</v>
      </c>
    </row>
    <row r="4" spans="1:13">
      <c r="A4" t="s">
        <v>167</v>
      </c>
      <c r="B4" s="11">
        <v>-0.38</v>
      </c>
      <c r="C4" s="11">
        <v>7.0000000000000007E-2</v>
      </c>
      <c r="D4" s="11">
        <v>-0.22</v>
      </c>
      <c r="E4" s="11">
        <v>-0.28000000000000003</v>
      </c>
      <c r="F4" s="11">
        <v>0.08</v>
      </c>
      <c r="G4" s="11">
        <v>0.03</v>
      </c>
      <c r="H4" s="7">
        <f t="shared" ref="H4:H11" si="0">B4*$M$3+C4*$M$4+D4*$M$5+E4*$M$6+F4*$M$7+G4*$M$8</f>
        <v>-0.19299999999999998</v>
      </c>
      <c r="I4" s="5">
        <f t="shared" ref="I4:I11" si="1">H4*170000000</f>
        <v>-32809999.999999996</v>
      </c>
      <c r="J4" t="s">
        <v>168</v>
      </c>
      <c r="L4" t="s">
        <v>17</v>
      </c>
      <c r="M4" s="7">
        <v>0.27</v>
      </c>
    </row>
    <row r="5" spans="1:13">
      <c r="A5" t="s">
        <v>169</v>
      </c>
      <c r="B5" s="11">
        <v>-0.19</v>
      </c>
      <c r="C5" s="11">
        <v>-0.13</v>
      </c>
      <c r="D5" s="11">
        <v>-0.1</v>
      </c>
      <c r="E5" s="11">
        <v>-0.08</v>
      </c>
      <c r="F5" s="11">
        <v>0.12</v>
      </c>
      <c r="G5" s="11">
        <v>0.02</v>
      </c>
      <c r="H5" s="7">
        <f t="shared" si="0"/>
        <v>-0.12910000000000002</v>
      </c>
      <c r="I5" s="5">
        <f t="shared" si="1"/>
        <v>-21947000.000000004</v>
      </c>
      <c r="J5" t="s">
        <v>170</v>
      </c>
      <c r="L5" t="s">
        <v>18</v>
      </c>
      <c r="M5" s="7">
        <v>0.12</v>
      </c>
    </row>
    <row r="6" spans="1:13">
      <c r="A6" t="s">
        <v>171</v>
      </c>
      <c r="B6" s="11">
        <v>-0.14000000000000001</v>
      </c>
      <c r="C6" s="11">
        <v>0.05</v>
      </c>
      <c r="D6" s="11">
        <v>-0.08</v>
      </c>
      <c r="E6" s="11">
        <v>-0.1</v>
      </c>
      <c r="F6" s="11">
        <v>0.03</v>
      </c>
      <c r="G6" s="11">
        <v>0.03</v>
      </c>
      <c r="H6" s="7">
        <f t="shared" si="0"/>
        <v>-6.3500000000000001E-2</v>
      </c>
      <c r="I6" s="5">
        <f t="shared" si="1"/>
        <v>-10795000</v>
      </c>
      <c r="J6" t="s">
        <v>172</v>
      </c>
      <c r="L6" t="s">
        <v>19</v>
      </c>
      <c r="M6" s="7">
        <v>0.11</v>
      </c>
    </row>
    <row r="7" spans="1:13">
      <c r="A7" t="s">
        <v>173</v>
      </c>
      <c r="B7" s="11">
        <v>0.08</v>
      </c>
      <c r="C7" s="11">
        <v>6.5000000000000002E-2</v>
      </c>
      <c r="D7" s="11">
        <v>0.05</v>
      </c>
      <c r="E7" s="11">
        <v>7.0000000000000007E-2</v>
      </c>
      <c r="F7" s="11">
        <v>-0.01</v>
      </c>
      <c r="G7" s="11">
        <v>0.01</v>
      </c>
      <c r="H7" s="7">
        <f t="shared" si="0"/>
        <v>6.4649999999999999E-2</v>
      </c>
      <c r="I7" s="5">
        <f t="shared" si="1"/>
        <v>10990500</v>
      </c>
      <c r="J7" t="s">
        <v>174</v>
      </c>
      <c r="L7" t="s">
        <v>20</v>
      </c>
      <c r="M7" s="7">
        <v>0.05</v>
      </c>
    </row>
    <row r="8" spans="1:13">
      <c r="A8" t="s">
        <v>175</v>
      </c>
      <c r="B8" s="11">
        <v>-0.06</v>
      </c>
      <c r="C8" s="11">
        <v>-5.5E-2</v>
      </c>
      <c r="D8" s="11">
        <v>-0.03</v>
      </c>
      <c r="E8" s="11">
        <v>-7.0000000000000007E-2</v>
      </c>
      <c r="F8" s="11">
        <v>0.02</v>
      </c>
      <c r="G8" s="11">
        <v>0.01</v>
      </c>
      <c r="H8" s="7">
        <f t="shared" si="0"/>
        <v>-5.004999999999999E-2</v>
      </c>
      <c r="I8" s="5">
        <f t="shared" si="1"/>
        <v>-8508499.9999999981</v>
      </c>
      <c r="J8" t="s">
        <v>176</v>
      </c>
      <c r="L8" t="s">
        <v>21</v>
      </c>
      <c r="M8" s="7">
        <v>0.03</v>
      </c>
    </row>
    <row r="9" spans="1:13">
      <c r="A9" t="s">
        <v>177</v>
      </c>
      <c r="B9" s="11">
        <v>0.21</v>
      </c>
      <c r="C9" s="11">
        <v>-0.02</v>
      </c>
      <c r="D9" s="11">
        <v>0.16</v>
      </c>
      <c r="E9" s="11">
        <v>0.1</v>
      </c>
      <c r="F9" s="11">
        <v>-0.04</v>
      </c>
      <c r="G9" s="11">
        <v>0.01</v>
      </c>
      <c r="H9" s="7">
        <f t="shared" si="0"/>
        <v>0.11129999999999997</v>
      </c>
      <c r="I9" s="5">
        <f t="shared" si="1"/>
        <v>18920999.999999996</v>
      </c>
      <c r="J9" t="s">
        <v>178</v>
      </c>
    </row>
    <row r="10" spans="1:13">
      <c r="A10" t="s">
        <v>179</v>
      </c>
      <c r="B10" s="11">
        <v>-0.04</v>
      </c>
      <c r="C10" s="11">
        <v>0.01</v>
      </c>
      <c r="D10" s="11">
        <v>-0.02</v>
      </c>
      <c r="E10" s="11">
        <v>-0.03</v>
      </c>
      <c r="F10" s="11">
        <v>0</v>
      </c>
      <c r="G10" s="11">
        <v>0.01</v>
      </c>
      <c r="H10" s="7">
        <f t="shared" si="0"/>
        <v>-1.9499999999999997E-2</v>
      </c>
      <c r="I10" s="5">
        <f t="shared" si="1"/>
        <v>-3314999.9999999995</v>
      </c>
      <c r="J10" t="s">
        <v>180</v>
      </c>
    </row>
    <row r="11" spans="1:13">
      <c r="A11" t="s">
        <v>181</v>
      </c>
      <c r="B11" s="11">
        <v>-0.17</v>
      </c>
      <c r="C11" s="11">
        <v>0.02</v>
      </c>
      <c r="D11" s="11">
        <v>-0.16</v>
      </c>
      <c r="E11" s="11">
        <v>-0.12</v>
      </c>
      <c r="F11" s="11">
        <v>0.04</v>
      </c>
      <c r="G11" s="11">
        <v>0.02</v>
      </c>
      <c r="H11" s="7">
        <f t="shared" si="0"/>
        <v>-9.5799999999999996E-2</v>
      </c>
      <c r="I11" s="5">
        <f t="shared" si="1"/>
        <v>-16286000</v>
      </c>
      <c r="J11" t="s">
        <v>182</v>
      </c>
    </row>
  </sheetData>
  <mergeCells count="1">
    <mergeCell ref="A1:J1"/>
  </mergeCells>
  <conditionalFormatting sqref="H4:H11">
    <cfRule type="colorScale" priority="1">
      <colorScale>
        <cfvo type="min"/>
        <cfvo type="percentile" val="50"/>
        <cfvo type="max"/>
        <color rgb="FFF4CCCC"/>
        <color rgb="FFFFF2CC"/>
        <color rgb="FFD9EAD3"/>
      </colorScale>
    </cfRule>
  </conditionalFormatting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"/>
  <sheetViews>
    <sheetView workbookViewId="0">
      <selection activeCell="F19" sqref="F19"/>
    </sheetView>
  </sheetViews>
  <sheetFormatPr baseColWidth="10" defaultColWidth="8.83203125" defaultRowHeight="14"/>
  <cols>
    <col min="1" max="1" width="18" customWidth="1"/>
    <col min="2" max="3" width="14" customWidth="1"/>
    <col min="4" max="4" width="13" customWidth="1"/>
    <col min="5" max="5" width="16" customWidth="1"/>
    <col min="6" max="6" width="12" customWidth="1"/>
    <col min="7" max="7" width="48" customWidth="1"/>
    <col min="8" max="8" width="32" customWidth="1"/>
    <col min="9" max="9" width="12" customWidth="1"/>
  </cols>
  <sheetData>
    <row r="1" spans="1:9" ht="19">
      <c r="A1" s="56" t="s">
        <v>183</v>
      </c>
      <c r="B1" s="56"/>
      <c r="C1" s="56"/>
      <c r="D1" s="56"/>
      <c r="E1" s="56"/>
      <c r="F1" s="56"/>
      <c r="G1" s="56"/>
      <c r="H1" s="56"/>
      <c r="I1" s="56"/>
    </row>
    <row r="3" spans="1:9" ht="30">
      <c r="A3" s="2" t="s">
        <v>12</v>
      </c>
      <c r="B3" s="2" t="s">
        <v>13</v>
      </c>
      <c r="C3" s="2" t="s">
        <v>14</v>
      </c>
      <c r="D3" s="2" t="s">
        <v>184</v>
      </c>
      <c r="E3" s="2" t="s">
        <v>185</v>
      </c>
      <c r="F3" s="2" t="s">
        <v>186</v>
      </c>
      <c r="G3" s="2" t="s">
        <v>187</v>
      </c>
      <c r="H3" s="2" t="s">
        <v>188</v>
      </c>
      <c r="I3" s="2" t="s">
        <v>189</v>
      </c>
    </row>
    <row r="4" spans="1:9">
      <c r="A4" t="s">
        <v>16</v>
      </c>
      <c r="B4" s="11">
        <v>0.42</v>
      </c>
      <c r="C4" s="11">
        <v>0.4</v>
      </c>
      <c r="D4" s="7">
        <f t="shared" ref="D4:D9" si="0">B4-C4</f>
        <v>1.9999999999999962E-2</v>
      </c>
      <c r="E4" s="5">
        <f t="shared" ref="E4:E9" si="1">-D4*170000000</f>
        <v>-3399999.9999999935</v>
      </c>
      <c r="F4" t="str">
        <f t="shared" ref="F4:F9" si="2">IF(E4&gt;0,"Buy",IF(E4&lt;0,"Sell","Hold"))</f>
        <v>Sell</v>
      </c>
      <c r="G4" t="s">
        <v>190</v>
      </c>
      <c r="H4" t="s">
        <v>191</v>
      </c>
      <c r="I4" t="s">
        <v>192</v>
      </c>
    </row>
    <row r="5" spans="1:9">
      <c r="A5" t="s">
        <v>17</v>
      </c>
      <c r="B5" s="11">
        <v>0.27</v>
      </c>
      <c r="C5" s="11">
        <v>0.3</v>
      </c>
      <c r="D5" s="7">
        <f t="shared" si="0"/>
        <v>-2.9999999999999971E-2</v>
      </c>
      <c r="E5" s="5">
        <f t="shared" si="1"/>
        <v>5099999.9999999953</v>
      </c>
      <c r="F5" t="str">
        <f t="shared" si="2"/>
        <v>Buy</v>
      </c>
      <c r="G5" t="s">
        <v>193</v>
      </c>
      <c r="H5" t="s">
        <v>194</v>
      </c>
      <c r="I5" t="s">
        <v>192</v>
      </c>
    </row>
    <row r="6" spans="1:9">
      <c r="A6" t="s">
        <v>18</v>
      </c>
      <c r="B6" s="11">
        <v>0.12</v>
      </c>
      <c r="C6" s="11">
        <v>0.12</v>
      </c>
      <c r="D6" s="7">
        <f t="shared" si="0"/>
        <v>0</v>
      </c>
      <c r="E6" s="5">
        <f t="shared" si="1"/>
        <v>0</v>
      </c>
      <c r="F6" t="str">
        <f t="shared" si="2"/>
        <v>Hold</v>
      </c>
      <c r="G6" t="s">
        <v>195</v>
      </c>
      <c r="H6" t="s">
        <v>196</v>
      </c>
      <c r="I6" t="s">
        <v>197</v>
      </c>
    </row>
    <row r="7" spans="1:9">
      <c r="A7" t="s">
        <v>19</v>
      </c>
      <c r="B7" s="11">
        <v>0.11</v>
      </c>
      <c r="C7" s="11">
        <v>0.1</v>
      </c>
      <c r="D7" s="7">
        <f t="shared" si="0"/>
        <v>9.999999999999995E-3</v>
      </c>
      <c r="E7" s="5">
        <f t="shared" si="1"/>
        <v>-1699999.9999999991</v>
      </c>
      <c r="F7" t="str">
        <f t="shared" si="2"/>
        <v>Sell</v>
      </c>
      <c r="G7" t="s">
        <v>198</v>
      </c>
      <c r="H7" t="s">
        <v>199</v>
      </c>
      <c r="I7" t="s">
        <v>197</v>
      </c>
    </row>
    <row r="8" spans="1:9">
      <c r="A8" t="s">
        <v>20</v>
      </c>
      <c r="B8" s="11">
        <v>0.05</v>
      </c>
      <c r="C8" s="11">
        <v>0.05</v>
      </c>
      <c r="D8" s="7">
        <f t="shared" si="0"/>
        <v>0</v>
      </c>
      <c r="E8" s="5">
        <f t="shared" si="1"/>
        <v>0</v>
      </c>
      <c r="F8" t="str">
        <f t="shared" si="2"/>
        <v>Hold</v>
      </c>
      <c r="G8" t="s">
        <v>200</v>
      </c>
      <c r="H8" t="s">
        <v>201</v>
      </c>
      <c r="I8" t="s">
        <v>202</v>
      </c>
    </row>
    <row r="9" spans="1:9">
      <c r="A9" t="s">
        <v>21</v>
      </c>
      <c r="B9" s="11">
        <v>0.03</v>
      </c>
      <c r="C9" s="11">
        <v>0.03</v>
      </c>
      <c r="D9" s="7">
        <f t="shared" si="0"/>
        <v>0</v>
      </c>
      <c r="E9" s="5">
        <f t="shared" si="1"/>
        <v>0</v>
      </c>
      <c r="F9" t="str">
        <f t="shared" si="2"/>
        <v>Hold</v>
      </c>
      <c r="G9" t="s">
        <v>203</v>
      </c>
      <c r="H9" t="s">
        <v>204</v>
      </c>
      <c r="I9" t="s">
        <v>202</v>
      </c>
    </row>
    <row r="10" spans="1:9">
      <c r="A10" s="4" t="s">
        <v>205</v>
      </c>
      <c r="B10" s="8">
        <f>SUM(B4:B9)</f>
        <v>1</v>
      </c>
      <c r="C10" s="8">
        <f>SUM(C4:C9)</f>
        <v>1</v>
      </c>
      <c r="D10" s="8">
        <f>SUM(D4:D9)</f>
        <v>-1.3877787807814457E-17</v>
      </c>
      <c r="E10" s="6">
        <f>SUM(E4:E9)</f>
        <v>2.7939677238464355E-9</v>
      </c>
      <c r="F10" s="4"/>
      <c r="G10" s="4"/>
      <c r="H10" s="4"/>
      <c r="I10" s="4"/>
    </row>
  </sheetData>
  <mergeCells count="1">
    <mergeCell ref="A1:I1"/>
  </mergeCells>
  <conditionalFormatting sqref="I4:I9">
    <cfRule type="expression" dxfId="1" priority="1">
      <formula>I4="High"</formula>
    </cfRule>
    <cfRule type="expression" dxfId="0" priority="2">
      <formula>I4="Medium"</formula>
    </cfRule>
  </conditionalFormatting>
  <dataValidations count="1">
    <dataValidation type="list" sqref="I4:I9" xr:uid="{00000000-0002-0000-0600-000000000000}">
      <formula1>"High,Medium,Low"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2"/>
  <sheetViews>
    <sheetView workbookViewId="0">
      <selection activeCell="B33" sqref="B33"/>
    </sheetView>
  </sheetViews>
  <sheetFormatPr baseColWidth="10" defaultColWidth="8.83203125" defaultRowHeight="14"/>
  <cols>
    <col min="1" max="1" width="30" customWidth="1"/>
    <col min="2" max="2" width="95" customWidth="1"/>
  </cols>
  <sheetData>
    <row r="1" spans="1:6" ht="19">
      <c r="A1" s="56" t="s">
        <v>206</v>
      </c>
      <c r="B1" s="56"/>
      <c r="C1" s="56"/>
      <c r="D1" s="56"/>
      <c r="E1" s="56"/>
      <c r="F1" s="56"/>
    </row>
    <row r="3" spans="1:6">
      <c r="A3" s="1" t="s">
        <v>207</v>
      </c>
      <c r="B3" s="1" t="s">
        <v>208</v>
      </c>
    </row>
    <row r="4" spans="1:6" ht="15">
      <c r="A4" s="18" t="s">
        <v>209</v>
      </c>
      <c r="B4" s="19" t="s">
        <v>210</v>
      </c>
    </row>
    <row r="5" spans="1:6" ht="30">
      <c r="A5" s="18" t="s">
        <v>211</v>
      </c>
      <c r="B5" s="19" t="s">
        <v>212</v>
      </c>
    </row>
    <row r="6" spans="1:6" ht="30">
      <c r="A6" s="18" t="s">
        <v>213</v>
      </c>
      <c r="B6" s="19" t="s">
        <v>214</v>
      </c>
    </row>
    <row r="7" spans="1:6" ht="15">
      <c r="A7" s="18" t="s">
        <v>215</v>
      </c>
      <c r="B7" s="19" t="s">
        <v>216</v>
      </c>
    </row>
    <row r="8" spans="1:6" ht="30">
      <c r="A8" s="18" t="s">
        <v>113</v>
      </c>
      <c r="B8" s="19" t="s">
        <v>217</v>
      </c>
    </row>
    <row r="9" spans="1:6" ht="15">
      <c r="A9" s="18" t="s">
        <v>5</v>
      </c>
      <c r="B9" s="19" t="s">
        <v>218</v>
      </c>
    </row>
    <row r="10" spans="1:6" ht="15">
      <c r="A10" s="18" t="s">
        <v>6</v>
      </c>
      <c r="B10" s="19" t="s">
        <v>219</v>
      </c>
    </row>
    <row r="11" spans="1:6" ht="15">
      <c r="A11" s="18" t="s">
        <v>7</v>
      </c>
      <c r="B11" s="19" t="s">
        <v>220</v>
      </c>
    </row>
    <row r="12" spans="1:6" ht="15">
      <c r="A12" s="18" t="s">
        <v>221</v>
      </c>
      <c r="B12" s="19" t="s">
        <v>222</v>
      </c>
    </row>
    <row r="13" spans="1:6" ht="15">
      <c r="A13" s="18" t="s">
        <v>223</v>
      </c>
      <c r="B13" s="19" t="s">
        <v>224</v>
      </c>
    </row>
    <row r="14" spans="1:6" ht="15">
      <c r="A14" s="18" t="s">
        <v>225</v>
      </c>
      <c r="B14" s="19" t="s">
        <v>226</v>
      </c>
    </row>
    <row r="15" spans="1:6" ht="30">
      <c r="A15" s="18" t="s">
        <v>227</v>
      </c>
      <c r="B15" s="19" t="s">
        <v>228</v>
      </c>
    </row>
    <row r="18" spans="1:2">
      <c r="A18" s="1" t="s">
        <v>229</v>
      </c>
      <c r="B18" s="1" t="s">
        <v>230</v>
      </c>
    </row>
    <row r="19" spans="1:2">
      <c r="A19" t="s">
        <v>231</v>
      </c>
      <c r="B19" s="20" t="s">
        <v>232</v>
      </c>
    </row>
    <row r="20" spans="1:2">
      <c r="A20" t="s">
        <v>233</v>
      </c>
      <c r="B20" s="20" t="s">
        <v>234</v>
      </c>
    </row>
    <row r="21" spans="1:2">
      <c r="A21" t="s">
        <v>235</v>
      </c>
      <c r="B21" s="20" t="s">
        <v>236</v>
      </c>
    </row>
    <row r="22" spans="1:2">
      <c r="A22" t="s">
        <v>237</v>
      </c>
      <c r="B22" s="20" t="s">
        <v>238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Dashboard</vt:lpstr>
      <vt:lpstr>Holdings</vt:lpstr>
      <vt:lpstr>Monthly Returns</vt:lpstr>
      <vt:lpstr>Risk Analytics</vt:lpstr>
      <vt:lpstr>Fixed Income</vt:lpstr>
      <vt:lpstr>Stress Tests</vt:lpstr>
      <vt:lpstr>Rebalancing</vt:lpstr>
      <vt:lpstr>Methodology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Davis Sahr</cp:lastModifiedBy>
  <dcterms:modified xsi:type="dcterms:W3CDTF">2026-07-27T00:24:24Z</dcterms:modified>
</cp:coreProperties>
</file>